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1355" windowHeight="7170" firstSheet="1" activeTab="1"/>
  </bookViews>
  <sheets>
    <sheet name="Nokia" sheetId="1" r:id="rId1"/>
    <sheet name="Fargekoder og kort forklaring" sheetId="2" r:id="rId2"/>
    <sheet name="Percentil Bånd" sheetId="3" r:id="rId3"/>
    <sheet name="Bollinger og akselerasjonsbånd" sheetId="4" r:id="rId4"/>
    <sheet name="Figurdata" sheetId="5" r:id="rId5"/>
  </sheets>
  <definedNames/>
  <calcPr fullCalcOnLoad="1"/>
</workbook>
</file>

<file path=xl/sharedStrings.xml><?xml version="1.0" encoding="utf-8"?>
<sst xmlns="http://schemas.openxmlformats.org/spreadsheetml/2006/main" count="283" uniqueCount="234">
  <si>
    <t>Høy</t>
  </si>
  <si>
    <t xml:space="preserve">Lav </t>
  </si>
  <si>
    <t>Dato</t>
  </si>
  <si>
    <t>Åpen</t>
  </si>
  <si>
    <t>Slutt</t>
  </si>
  <si>
    <t>Volum</t>
  </si>
  <si>
    <t xml:space="preserve">X1 </t>
  </si>
  <si>
    <t>X2</t>
  </si>
  <si>
    <t>X3</t>
  </si>
  <si>
    <t>PrHøy</t>
  </si>
  <si>
    <t>PrLav</t>
  </si>
  <si>
    <t>MidtP</t>
  </si>
  <si>
    <t>ØBånd</t>
  </si>
  <si>
    <t>Øvre</t>
  </si>
  <si>
    <t>Nedre</t>
  </si>
  <si>
    <t>NBånd</t>
  </si>
  <si>
    <t>H - L</t>
  </si>
  <si>
    <t>H - S(-1)</t>
  </si>
  <si>
    <t>L - S(-1)</t>
  </si>
  <si>
    <t>TR1</t>
  </si>
  <si>
    <t>OPP</t>
  </si>
  <si>
    <t>Ned</t>
  </si>
  <si>
    <t>Opp</t>
  </si>
  <si>
    <t>NED</t>
  </si>
  <si>
    <t>+DM1</t>
  </si>
  <si>
    <t>-DM1</t>
  </si>
  <si>
    <t>TR14</t>
  </si>
  <si>
    <t>+DM14</t>
  </si>
  <si>
    <t>-DM14</t>
  </si>
  <si>
    <t>+DI14</t>
  </si>
  <si>
    <t>-DI14</t>
  </si>
  <si>
    <t>DI Diff</t>
  </si>
  <si>
    <t>DI Sum</t>
  </si>
  <si>
    <t>DX</t>
  </si>
  <si>
    <t>ADX</t>
  </si>
  <si>
    <t>ADXR</t>
  </si>
  <si>
    <t>CSI</t>
  </si>
  <si>
    <t>ARC</t>
  </si>
  <si>
    <t>SARL</t>
  </si>
  <si>
    <t>Handling</t>
  </si>
  <si>
    <t>SARSH</t>
  </si>
  <si>
    <t>Snitt</t>
  </si>
  <si>
    <t>B1</t>
  </si>
  <si>
    <t>S1</t>
  </si>
  <si>
    <t>HBOP</t>
  </si>
  <si>
    <t>LBOP</t>
  </si>
  <si>
    <t>ENTRY</t>
  </si>
  <si>
    <t>P&amp; L</t>
  </si>
  <si>
    <t>EXIT-L</t>
  </si>
  <si>
    <t>EXIT-S</t>
  </si>
  <si>
    <t>SAR</t>
  </si>
  <si>
    <t>EP</t>
  </si>
  <si>
    <t>EP + / - SAR</t>
  </si>
  <si>
    <t>AF</t>
  </si>
  <si>
    <t>AF * DIFF</t>
  </si>
  <si>
    <t>EXIT</t>
  </si>
  <si>
    <t>UP</t>
  </si>
  <si>
    <t>DOWN</t>
  </si>
  <si>
    <t>UP AVG</t>
  </si>
  <si>
    <t>RSI</t>
  </si>
  <si>
    <t>DOWN AVG</t>
  </si>
  <si>
    <t>%B</t>
  </si>
  <si>
    <t>ØvreBB</t>
  </si>
  <si>
    <t>NedreBB</t>
  </si>
  <si>
    <t>MiddelBB</t>
  </si>
  <si>
    <t>BreddeBB</t>
  </si>
  <si>
    <t>AD</t>
  </si>
  <si>
    <t>II</t>
  </si>
  <si>
    <t>OBV</t>
  </si>
  <si>
    <t>II14</t>
  </si>
  <si>
    <t>AD14</t>
  </si>
  <si>
    <t>OBV14</t>
  </si>
  <si>
    <t>ROCp14</t>
  </si>
  <si>
    <t>ROCv14</t>
  </si>
  <si>
    <t>Kjøp</t>
  </si>
  <si>
    <t>Selg</t>
  </si>
  <si>
    <t>B</t>
  </si>
  <si>
    <t>S</t>
  </si>
  <si>
    <t>Kjøp og / eller Lang posisjon</t>
  </si>
  <si>
    <t>Salg og / eller kort posisjon.</t>
  </si>
  <si>
    <t>Tekniske PRISindikatorer.</t>
  </si>
  <si>
    <t>Tekniske VOLUMindikatorer</t>
  </si>
  <si>
    <t>Skal man lage tilsvarende opplegg for en annen aksje, kopieres arket og man legger inn nye data i kolonne b, c, d, e og f.</t>
  </si>
  <si>
    <t>Åpnings pris prinsippet. Åpnings prisen ligger nær dagens høy eller lav.  Ved day trading venter man på en retning</t>
  </si>
  <si>
    <t xml:space="preserve">Det tas forbehold om feil i formelaparatet, så regnearket kjøpes slik det er.   Ingen garanti eller ansvar for Kjell Bleivik som </t>
  </si>
  <si>
    <r>
      <t>Litteratur:</t>
    </r>
    <r>
      <rPr>
        <sz val="10"/>
        <rFont val="Arial"/>
        <family val="0"/>
      </rPr>
      <t xml:space="preserve">   Wells Wilder (1978).  New Concepts in technical trading systems.  Hunter Publishing Company.</t>
    </r>
  </si>
  <si>
    <t xml:space="preserve">   John Bollinger (2001).  Bollinger on Bollinger Bands.  McGraw Hill</t>
  </si>
  <si>
    <t xml:space="preserve">   Kjell Bleivik (2002)  Markedets Musikk.</t>
  </si>
  <si>
    <t>i boken Markedets Musikk.  Deretter må det tekniske bildet være gunstig.  Kombiner en Candle Stick analyse på måneds, ukes</t>
  </si>
  <si>
    <t>og dagsdata.  Det aller beste er å finne aksjer som har et gunstig mønster på alle tre frekvenser, for eksempel en DOJI på alle tre</t>
  </si>
  <si>
    <r>
      <t>Når man skal ta en posisjon</t>
    </r>
    <r>
      <rPr>
        <sz val="10"/>
        <rFont val="Arial"/>
        <family val="0"/>
      </rPr>
      <t xml:space="preserve">, gjelder det om å finne en aksje, </t>
    </r>
    <r>
      <rPr>
        <b/>
        <sz val="10"/>
        <rFont val="Arial"/>
        <family val="2"/>
      </rPr>
      <t xml:space="preserve">fremfor alt med gunstig Risk / Reward </t>
    </r>
    <r>
      <rPr>
        <sz val="10"/>
        <rFont val="Arial"/>
        <family val="2"/>
      </rPr>
      <t>som er grundig forklart</t>
    </r>
    <r>
      <rPr>
        <b/>
        <sz val="10"/>
        <rFont val="Arial"/>
        <family val="2"/>
      </rPr>
      <t xml:space="preserve"> </t>
    </r>
  </si>
  <si>
    <t xml:space="preserve">ved nedre Bollinger Båndet.  Deretter kan man selge / kjøpe ved å studere SAR eller det mer kompliserte </t>
  </si>
  <si>
    <r>
      <t>Trend Reaksjon systemet</t>
    </r>
    <r>
      <rPr>
        <sz val="10"/>
        <rFont val="Arial"/>
        <family val="2"/>
      </rPr>
      <t xml:space="preserve"> som er forklart grundig i kapittel VII i Wilders Bok.  I regnearket finnes dette</t>
    </r>
  </si>
  <si>
    <r>
      <t>Fasit</t>
    </r>
    <r>
      <rPr>
        <sz val="10"/>
        <rFont val="Arial"/>
        <family val="0"/>
      </rPr>
      <t xml:space="preserve"> er alltid </t>
    </r>
    <r>
      <rPr>
        <sz val="10"/>
        <color indexed="10"/>
        <rFont val="Arial"/>
        <family val="2"/>
      </rPr>
      <t xml:space="preserve">Candle Stick (mønstre).  </t>
    </r>
    <r>
      <rPr>
        <sz val="10"/>
        <rFont val="Arial"/>
        <family val="2"/>
      </rPr>
      <t xml:space="preserve">Dette kan man analysere på Bigcharts.com hvor man må være klar over </t>
    </r>
    <r>
      <rPr>
        <b/>
        <sz val="10"/>
        <rFont val="Arial"/>
        <family val="2"/>
      </rPr>
      <t>at tallene</t>
    </r>
  </si>
  <si>
    <t>og i et trendende marked.  Husk at SAR er best i et trendende marked, dvs. når ADX krysser 20 og er stigende.</t>
  </si>
  <si>
    <t xml:space="preserve">systemet fra og med kolonne AR til og med kolonne BA.  Dette er meget felksibelt og man kan tjene penger i et flatt </t>
  </si>
  <si>
    <t>har laget det.  Slett det om du ikke godtar det.</t>
  </si>
  <si>
    <t>og kjøper / selger på en Fibonacci reaksjon. 32 %, 50 % 62 % etc.</t>
  </si>
  <si>
    <r>
      <t>ikke er kvalitetssikret.</t>
    </r>
    <r>
      <rPr>
        <sz val="10"/>
        <rFont val="Arial"/>
        <family val="2"/>
      </rPr>
      <t xml:space="preserve">  De korrekte tallene finner man på børsens hjemmeside.</t>
    </r>
  </si>
  <si>
    <t xml:space="preserve">   Price Hadley (2002).  Big trends in trading.  Strategies to Master Major Market Moves.  John Wiley &amp; Sons, Inc.</t>
  </si>
  <si>
    <t xml:space="preserve">Skal man få fullt utbytte av regnearket, anbefales det at man kjøper Wells Wilders bok.  Den kan kjøpes fra </t>
  </si>
  <si>
    <t>http://www.traderslibrary.com/</t>
  </si>
  <si>
    <t>Noter at aksellerasjonsfaktoren i kolonne BE, da starter på nytt med 0.02 når man går over fra kort til lang og omvendt.</t>
  </si>
  <si>
    <r>
      <t>Merk at formlene for SAR endres når man går over fra kort til lang posisjon og omvendt.</t>
    </r>
    <r>
      <rPr>
        <sz val="10"/>
        <rFont val="Arial"/>
        <family val="0"/>
      </rPr>
      <t xml:space="preserve">  Man må studere nøye hvordan dette er</t>
    </r>
  </si>
  <si>
    <r>
      <t xml:space="preserve">gjort tidligere for å forstå dette i regnearket.  </t>
    </r>
    <r>
      <rPr>
        <b/>
        <sz val="10"/>
        <rFont val="Arial"/>
        <family val="2"/>
      </rPr>
      <t>De neste dagene må man være ops på</t>
    </r>
    <r>
      <rPr>
        <sz val="10"/>
        <rFont val="Arial"/>
        <family val="0"/>
      </rPr>
      <t xml:space="preserve"> dette.  Da kopieres deler av raden frem til</t>
    </r>
  </si>
  <si>
    <t xml:space="preserve">SAR og etter siste SAR kolonne (BI).  For beregning av SAR i kolonne BB til og med kolonne BI, gjør man som illustrert tidligere.  </t>
  </si>
  <si>
    <t>Prognoser / Anslag .  Et anslag på hvor kursen vil trade neste dag i kolonne J og K .  Må sees i sammenheng med andre indikatorer.  Ellers anslag.</t>
  </si>
  <si>
    <t>En minimuminnføring i Candle stick analyse og annen teknisk analyse finnes i boken Markedets Musikk.</t>
  </si>
  <si>
    <t>Wells Wilders volatilitetssystem forklart i kapittel III i hans bok.</t>
  </si>
  <si>
    <t>For øvrig vises det til Wells Wilders bok kapittel II.</t>
  </si>
  <si>
    <t>hvor leveringstiden er ca 3 uker.  Forklaring og bruk av aksellerasjonsbånd finner man i Price Hadleys bok.</t>
  </si>
  <si>
    <t>Her gis det eksempler på hvordan man skal analysere aksjer som tar av som en rakett forlater jorden.</t>
  </si>
  <si>
    <t xml:space="preserve">Historiske kurser for Nokia notert i svenske kroner finner man på </t>
  </si>
  <si>
    <t>http://www.stockholmsborsen.se/Slutkurser/</t>
  </si>
  <si>
    <t xml:space="preserve">ved et ettall i kolonne AV eller AW.  Vi har aldri vært i REAKSJONS modus. </t>
  </si>
  <si>
    <t>MERK:  Wells Wilders Reaksjon trend system har i den aktuelle tidsperioden kun vært i TREND modus.  Dette signalet utløses</t>
  </si>
  <si>
    <t>Vi stoppes her ut ved at dagens sluttkurs skjærer stoppen.  Ved SAR systemet forlanger vi at dagens topp eller bunn skjærer</t>
  </si>
  <si>
    <t>stoppen.  Derfor vil vi ikke alltid få samme signaler her og de to metodene kan utfylle hverandre.  Vær defensiv om du er</t>
  </si>
  <si>
    <t>usikker.  Dvs. i det ene tilfellet er det nok at veken på stearinlyset skjærer stoppen.  I det andre tilfellet må kroppen på</t>
  </si>
  <si>
    <t>stearinlyset skjære stoppen.  Uansett er automatiske stopp en form for latskap.   Har man en god analyse</t>
  </si>
  <si>
    <r>
      <t xml:space="preserve">vil man lønnsomt kunne ta stoppene før de automatiske utløser den.  </t>
    </r>
    <r>
      <rPr>
        <b/>
        <sz val="10"/>
        <rFont val="Arial"/>
        <family val="2"/>
      </rPr>
      <t>AUTOMATISKE STOPP SKAL LIGGE DER SOM</t>
    </r>
  </si>
  <si>
    <t>ET SIKKERHETSNETT.  Les mer om dette i boken Markedets musikk, hvor det er grundig behandlet.</t>
  </si>
  <si>
    <t>De røde og grønne feltene i kolonnen for sluttkurser, kolonne E er basert på Trend Reaksjons systemet.  De er</t>
  </si>
  <si>
    <t>er satt der for å vise om vi er lang eller kort ut fra dette systemet.</t>
  </si>
  <si>
    <t xml:space="preserve">SH 126 </t>
  </si>
  <si>
    <t>E SH L 130.5</t>
  </si>
  <si>
    <t>Man henter historiske data fra børsen eller  en annen datakilde.  Man må ha nok data til at hele eller deler av formelapparatet</t>
  </si>
  <si>
    <t xml:space="preserve">virker.  Etter som man får nok data vil alle formlene virke.  Hvordan skal man gå frem for å plukke ut   </t>
  </si>
  <si>
    <t>interessante aksjer?  For det første er det en overkommelig oppgave å følge 20 aksjer.  Da må man i løpet av en uke legge</t>
  </si>
  <si>
    <t>inn 5 x 20 x 5 = 500 tall.  Man har hele ettermiddagen og kvelden etter stengning til å finne aktuelle</t>
  </si>
  <si>
    <t xml:space="preserve">aksjer.  En grovsortering kan gjøres på Bigcharts.com ut fra en analyse som beskrevet i boken Markedets musikk. </t>
  </si>
  <si>
    <t>I løpet av en kveld kan man finne 2 / 3 interessante aksjer.  For de som vil kombinere teknisk analyse med fundamental,</t>
  </si>
  <si>
    <t>nyheter om selskapet.  Husk tommelfingerregelen "Selg på nyheter og kjøp på rykter."</t>
  </si>
  <si>
    <t>anbefales det at man studerer regnskaper på selskapets hjemmeside og søker med en søkemotor etter</t>
  </si>
  <si>
    <t xml:space="preserve">Etter noen uker vil man ha opparbeidet en aktuell liste på 10 - 20 aksjer som man kan trade på. </t>
  </si>
  <si>
    <t>Kontinuerlig er man på jakt etter nye kandidater med et bedre risiko / profitt bilde.  For en tid kan man slutte å oppdatere</t>
  </si>
  <si>
    <t>aksjer som i øyeblikket ikke er så interessante.  Det er fort gjort å fylle inn manglende data når aksjen igjen tas inn i tradinglisten.</t>
  </si>
  <si>
    <t>Aksjer som beveger seg utenfor øvre aksellerasjonsbånd skal man være meget ops.  Det kan være aksjer som er i ferd med å</t>
  </si>
  <si>
    <t xml:space="preserve">ta av.  Vi siterer fra side 91 i Price Hadleys bok.  </t>
  </si>
  <si>
    <t xml:space="preserve">" I have learned that the best profits come from "parabolic" stock moves.  These are the stocks that do not give </t>
  </si>
  <si>
    <t xml:space="preserve">you easy chances to get into them - what some might call "runaway" situations.  Some call these stocks "bubbles" </t>
  </si>
  <si>
    <t xml:space="preserve">after they have made their major move, but we prefer to get into these stocks earlier, when the bubble is just starting </t>
  </si>
  <si>
    <t xml:space="preserve">rapidly to inflate, and then have a strategy to exit before before the bubble is truly popped.  </t>
  </si>
  <si>
    <t>Based on years of researching and monitoring the profiles of these stocks, I noticed that these runaway stocks have several</t>
  </si>
  <si>
    <t xml:space="preserve"> factors in common:</t>
  </si>
  <si>
    <t>1.  They are usually in growth industries, like technology, communications, biotechnology and health care.</t>
  </si>
  <si>
    <t>2.  Earnings are usually growing at very fast rates, typically 25 percent or more, and many times at 100 percent or more.</t>
  </si>
  <si>
    <t>3.  Some amount of media debate exists about the company's future prospects.  The best scenario is to find a stock that is</t>
  </si>
  <si>
    <t xml:space="preserve">     getting attention for being "overvalued".   I often find that Acceleration Stocks often get overvalued until the crowd recognises</t>
  </si>
  <si>
    <t xml:space="preserve">     the stock as a clear winner.</t>
  </si>
  <si>
    <t>4.  Usually there is a breakout to a new high over the prior 50-bar high - these breakouts have the most longevity in my experience.</t>
  </si>
  <si>
    <t xml:space="preserve">    Most investors like to buy stocks near their 52-week low and hope it returns to the 52-week high.  Historically, the studies</t>
  </si>
  <si>
    <t xml:space="preserve">    I have done show that over 80 percent of the leaders for the next 12 months were typically within 15 percent of their highs when</t>
  </si>
  <si>
    <t xml:space="preserve">    their upside breakouts began."</t>
  </si>
  <si>
    <r>
      <t>Man må gi aksjen rom til å reagere</t>
    </r>
    <r>
      <rPr>
        <sz val="10"/>
        <rFont val="Arial"/>
        <family val="2"/>
      </rPr>
      <t xml:space="preserve">.  Studier vises at stoppen ofte settes for tett.  Man kutter blomstene for tidelig. </t>
    </r>
  </si>
  <si>
    <t>Her gjelder slagordet.  La profitten løpe og kutt tapene, men på et optimalt tidspunkt.</t>
  </si>
  <si>
    <t>Man må ikke bare lære seg markedets, men også aksjens musikk.  Ringperm + skjermdump er stikkordet.</t>
  </si>
  <si>
    <t>Ta aldri en posisjon uten å ha foretatt en grundig analyse.  Kom på sporet på riktig Risk / reward og teknisk (+ eventuelt</t>
  </si>
  <si>
    <t xml:space="preserve">fundamentalt) signal.  Du lærer ikke orientering ved å løpe etter de andre.  En enkel måte å gå inn på er hvor SAR skifter fra kort </t>
  </si>
  <si>
    <t>lang.  Se ellers mange eksempler på dette i boken Markedets Musikk.</t>
  </si>
  <si>
    <t>Det er min påstand at lærer du deg metodene og reglene i denne boken, du lærer deg å benytte Bigcharts.com og / eller</t>
  </si>
  <si>
    <r>
      <t xml:space="preserve">tilsvarende verktøy og følger opp med en </t>
    </r>
    <r>
      <rPr>
        <b/>
        <sz val="10"/>
        <rFont val="Arial"/>
        <family val="2"/>
      </rPr>
      <t xml:space="preserve">EGEN grundig analyse som for eksempel dette regnearket, </t>
    </r>
  </si>
  <si>
    <t xml:space="preserve">så bør du ha oddsene på din side for å tjene på de posisjonene du tar.  Du trenger ikke sitte foran skjermen hele dagen.  </t>
  </si>
  <si>
    <t>Hvilken frekens du skal trade på dag, uke, måned, kvartal bestemmer du selv.  Og du trenger ikke dyrt</t>
  </si>
  <si>
    <t>verktøy med realtidskurser og avanserte tradingverktøy med altfor mye informasjon som ofte forvirrer mer enn det klargjør.</t>
  </si>
  <si>
    <t>Metodene er gyldige uansett frekvens.  Det er lett gjort å tilpasse dette regnearket til ukes, måneds og kvartalsdata.</t>
  </si>
  <si>
    <t xml:space="preserve">Ukestrading, posisjonstrading og dynamisk allokering.  Opplegget kan benyttes til alle tre.  Det er ikke sikkert at en </t>
  </si>
  <si>
    <t xml:space="preserve">dagtrader vil tjene mer enn en posisjonstrader eller dynamisk allokerer som ser de riktige trendene.  </t>
  </si>
  <si>
    <t>Snarere kan det være tvert imot slik at den som tjener mest ved dagtrading er din megler eller programvare leverandør.</t>
  </si>
  <si>
    <t xml:space="preserve">Man ser av siste rad, rad 55 for 13 november at noen formler er fylt ut basert på informasjon fra  </t>
  </si>
  <si>
    <t>foregående dag.  Man gjør det ved å kopiere formlene fra rad 54 til 55 i de aktuelle cellene.</t>
  </si>
  <si>
    <t xml:space="preserve">Anslag finnes i kolonne J, K, AO, AR, AS, AT, AU, AX, AY og BB </t>
  </si>
  <si>
    <t>Når dagen er omme og man kan fylle ut celle B55, C55, D55, E55 OG F55, har man de endelige tallene.</t>
  </si>
  <si>
    <r>
      <t xml:space="preserve">Da kopieres hele rad 54 til rad 55.  </t>
    </r>
    <r>
      <rPr>
        <b/>
        <sz val="10"/>
        <rFont val="Arial"/>
        <family val="2"/>
      </rPr>
      <t>Unntak når SAR går fra kort til lang og omvendt.  Se nedenfor</t>
    </r>
    <r>
      <rPr>
        <sz val="10"/>
        <rFont val="Arial"/>
        <family val="0"/>
      </rPr>
      <t>.   I kollonnene med</t>
    </r>
  </si>
  <si>
    <t>anslag for neste dag, kopieres cellene i rad 55 nå til rad 56</t>
  </si>
  <si>
    <t>Piovt</t>
  </si>
  <si>
    <t>Støtte1</t>
  </si>
  <si>
    <t>Motst1</t>
  </si>
  <si>
    <t>Støtte2</t>
  </si>
  <si>
    <t>Motst2</t>
  </si>
  <si>
    <t>Støtte3</t>
  </si>
  <si>
    <t>Motst3</t>
  </si>
  <si>
    <t>Støtte4</t>
  </si>
  <si>
    <t>Motst4</t>
  </si>
  <si>
    <t>DAG / INN</t>
  </si>
  <si>
    <t>UT / PROFITT</t>
  </si>
  <si>
    <t>O</t>
  </si>
  <si>
    <t>132.0      -3.0</t>
  </si>
  <si>
    <t>B      135.5</t>
  </si>
  <si>
    <t>135.5      -1.5</t>
  </si>
  <si>
    <t>S      137.5</t>
  </si>
  <si>
    <t>135.5      +2.0</t>
  </si>
  <si>
    <t>S      136.0</t>
  </si>
  <si>
    <t>135.0      +1.0</t>
  </si>
  <si>
    <t>128.0      +4.0</t>
  </si>
  <si>
    <t>129.5      +1.5</t>
  </si>
  <si>
    <t>|</t>
  </si>
  <si>
    <t xml:space="preserve"> Inn og ut av Trendmodus i Welles Wilders Trend Reaksjons sytem.</t>
  </si>
  <si>
    <t>Start</t>
  </si>
  <si>
    <t>S      132.5</t>
  </si>
  <si>
    <t>B      131.5</t>
  </si>
  <si>
    <t>131.5      +1.0</t>
  </si>
  <si>
    <t>S      130.0</t>
  </si>
  <si>
    <t>130.0      -1.50</t>
  </si>
  <si>
    <t xml:space="preserve">B      128.5 </t>
  </si>
  <si>
    <t>128.5      +1.50</t>
  </si>
  <si>
    <t>131.0      +2.50</t>
  </si>
  <si>
    <t>S      133</t>
  </si>
  <si>
    <t>130.0        -3.0</t>
  </si>
  <si>
    <t>133.5       - 2.5</t>
  </si>
  <si>
    <t>S      135.0</t>
  </si>
  <si>
    <t>138.0       -3.0</t>
  </si>
  <si>
    <t>136.0       -3.0</t>
  </si>
  <si>
    <t xml:space="preserve">B </t>
  </si>
  <si>
    <t>133.5       -2.0</t>
  </si>
  <si>
    <t>134.0      -0.5</t>
  </si>
  <si>
    <r>
      <t>B</t>
    </r>
    <r>
      <rPr>
        <sz val="10"/>
        <rFont val="Arial"/>
        <family val="2"/>
      </rPr>
      <t xml:space="preserve">     133.0</t>
    </r>
  </si>
  <si>
    <t>137.0      -2.5</t>
  </si>
  <si>
    <r>
      <t>B</t>
    </r>
    <r>
      <rPr>
        <sz val="10"/>
        <rFont val="Arial"/>
        <family val="2"/>
      </rPr>
      <t xml:space="preserve"> 134.5-137</t>
    </r>
  </si>
  <si>
    <t xml:space="preserve">B      135.0 </t>
  </si>
  <si>
    <t>S      132.0</t>
  </si>
  <si>
    <t xml:space="preserve">B      128.0 </t>
  </si>
  <si>
    <t>128.5       -3.5</t>
  </si>
  <si>
    <t>E L SH 129</t>
  </si>
  <si>
    <t>Skjevhet</t>
  </si>
  <si>
    <t>Median</t>
  </si>
  <si>
    <t>Bånd (Det første er aksellerasjons, det neste er Bollinger, det siste er Percentil Bånd med median som midpunkt)</t>
  </si>
  <si>
    <t>97.5 %</t>
  </si>
  <si>
    <t>2.5 %</t>
  </si>
  <si>
    <t>C</t>
  </si>
  <si>
    <t>Haletyngde - 3</t>
  </si>
  <si>
    <t>CHI(2)</t>
  </si>
  <si>
    <t>Prob</t>
  </si>
  <si>
    <t>Kontroll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</si>
</sst>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  <numFmt numFmtId="178" formatCode="0.00000"/>
    <numFmt numFmtId="179" formatCode="0.0"/>
    <numFmt numFmtId="180" formatCode="d\-mmm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sz val="10"/>
      <color indexed="41"/>
      <name val="Arial"/>
      <family val="2"/>
    </font>
    <font>
      <sz val="10"/>
      <color indexed="12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79" fontId="0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9" fontId="0" fillId="3" borderId="0" xfId="0" applyNumberFormat="1" applyFill="1" applyAlignment="1">
      <alignment horizontal="center"/>
    </xf>
    <xf numFmtId="179" fontId="7" fillId="0" borderId="0" xfId="0" applyNumberFormat="1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79" fontId="0" fillId="0" borderId="0" xfId="0" applyNumberFormat="1" applyFont="1" applyFill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/>
    </xf>
    <xf numFmtId="1" fontId="0" fillId="5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center"/>
    </xf>
    <xf numFmtId="17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79" fontId="0" fillId="6" borderId="0" xfId="0" applyNumberFormat="1" applyFill="1" applyAlignment="1">
      <alignment horizontal="center"/>
    </xf>
    <xf numFmtId="179" fontId="0" fillId="7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5" fillId="0" borderId="0" xfId="0" applyNumberFormat="1" applyFont="1" applyFill="1" applyAlignment="1">
      <alignment horizontal="center"/>
    </xf>
    <xf numFmtId="179" fontId="0" fillId="7" borderId="0" xfId="0" applyNumberFormat="1" applyFont="1" applyFill="1" applyAlignment="1">
      <alignment horizontal="center"/>
    </xf>
    <xf numFmtId="179" fontId="0" fillId="2" borderId="0" xfId="0" applyNumberFormat="1" applyFill="1" applyAlignment="1">
      <alignment horizontal="center"/>
    </xf>
    <xf numFmtId="49" fontId="0" fillId="10" borderId="0" xfId="0" applyNumberFormat="1" applyFill="1" applyAlignment="1">
      <alignment horizontal="center"/>
    </xf>
    <xf numFmtId="179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9" fontId="0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179" fontId="0" fillId="11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79" fontId="0" fillId="6" borderId="0" xfId="0" applyNumberFormat="1" applyFill="1" applyAlignment="1">
      <alignment/>
    </xf>
    <xf numFmtId="179" fontId="0" fillId="7" borderId="0" xfId="0" applyNumberFormat="1" applyFill="1" applyAlignment="1">
      <alignment/>
    </xf>
    <xf numFmtId="0" fontId="0" fillId="0" borderId="0" xfId="0" applyFill="1" applyAlignment="1">
      <alignment/>
    </xf>
    <xf numFmtId="179" fontId="1" fillId="6" borderId="0" xfId="0" applyNumberFormat="1" applyFont="1" applyFill="1" applyAlignment="1">
      <alignment/>
    </xf>
    <xf numFmtId="179" fontId="0" fillId="6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9" fontId="1" fillId="7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9" fontId="0" fillId="3" borderId="0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Percentil Bånd rundt medianen 2.5% og 97.5%.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Figurdata!$F$2:$F$61</c:f>
              <c:numCache>
                <c:ptCount val="60"/>
                <c:pt idx="0">
                  <c:v>119.5</c:v>
                </c:pt>
                <c:pt idx="1">
                  <c:v>121</c:v>
                </c:pt>
                <c:pt idx="2">
                  <c:v>120.5</c:v>
                </c:pt>
                <c:pt idx="3">
                  <c:v>122.5</c:v>
                </c:pt>
                <c:pt idx="4">
                  <c:v>125</c:v>
                </c:pt>
                <c:pt idx="5">
                  <c:v>130.5</c:v>
                </c:pt>
                <c:pt idx="6">
                  <c:v>129</c:v>
                </c:pt>
                <c:pt idx="7">
                  <c:v>128</c:v>
                </c:pt>
                <c:pt idx="8">
                  <c:v>128</c:v>
                </c:pt>
                <c:pt idx="9">
                  <c:v>132</c:v>
                </c:pt>
                <c:pt idx="10">
                  <c:v>131</c:v>
                </c:pt>
                <c:pt idx="11">
                  <c:v>133</c:v>
                </c:pt>
                <c:pt idx="12">
                  <c:v>131</c:v>
                </c:pt>
                <c:pt idx="13">
                  <c:v>132</c:v>
                </c:pt>
                <c:pt idx="14">
                  <c:v>127.5</c:v>
                </c:pt>
                <c:pt idx="15">
                  <c:v>131.5</c:v>
                </c:pt>
                <c:pt idx="16">
                  <c:v>131</c:v>
                </c:pt>
                <c:pt idx="17">
                  <c:v>132.5</c:v>
                </c:pt>
                <c:pt idx="18">
                  <c:v>129.5</c:v>
                </c:pt>
                <c:pt idx="19">
                  <c:v>128.5</c:v>
                </c:pt>
                <c:pt idx="20">
                  <c:v>129.5</c:v>
                </c:pt>
                <c:pt idx="21">
                  <c:v>130</c:v>
                </c:pt>
                <c:pt idx="22">
                  <c:v>131</c:v>
                </c:pt>
                <c:pt idx="23">
                  <c:v>132</c:v>
                </c:pt>
                <c:pt idx="24">
                  <c:v>132</c:v>
                </c:pt>
                <c:pt idx="25">
                  <c:v>132.5</c:v>
                </c:pt>
                <c:pt idx="26">
                  <c:v>135.5</c:v>
                </c:pt>
                <c:pt idx="27">
                  <c:v>134.5</c:v>
                </c:pt>
                <c:pt idx="28">
                  <c:v>133.5</c:v>
                </c:pt>
                <c:pt idx="29">
                  <c:v>136</c:v>
                </c:pt>
                <c:pt idx="30">
                  <c:v>138</c:v>
                </c:pt>
                <c:pt idx="31">
                  <c:v>135</c:v>
                </c:pt>
                <c:pt idx="32">
                  <c:v>134</c:v>
                </c:pt>
                <c:pt idx="33">
                  <c:v>136</c:v>
                </c:pt>
                <c:pt idx="34">
                  <c:v>137</c:v>
                </c:pt>
                <c:pt idx="35">
                  <c:v>136.5</c:v>
                </c:pt>
                <c:pt idx="36">
                  <c:v>132.5</c:v>
                </c:pt>
                <c:pt idx="37">
                  <c:v>134</c:v>
                </c:pt>
                <c:pt idx="38">
                  <c:v>132</c:v>
                </c:pt>
                <c:pt idx="39">
                  <c:v>133</c:v>
                </c:pt>
                <c:pt idx="40">
                  <c:v>133.5</c:v>
                </c:pt>
                <c:pt idx="41">
                  <c:v>138</c:v>
                </c:pt>
                <c:pt idx="42">
                  <c:v>136</c:v>
                </c:pt>
                <c:pt idx="43">
                  <c:v>136</c:v>
                </c:pt>
                <c:pt idx="44">
                  <c:v>136.5</c:v>
                </c:pt>
                <c:pt idx="45">
                  <c:v>136</c:v>
                </c:pt>
                <c:pt idx="46">
                  <c:v>136</c:v>
                </c:pt>
                <c:pt idx="47">
                  <c:v>135.5</c:v>
                </c:pt>
                <c:pt idx="48">
                  <c:v>134.5</c:v>
                </c:pt>
                <c:pt idx="49">
                  <c:v>137</c:v>
                </c:pt>
                <c:pt idx="50">
                  <c:v>134</c:v>
                </c:pt>
                <c:pt idx="51">
                  <c:v>130.5</c:v>
                </c:pt>
                <c:pt idx="52">
                  <c:v>129</c:v>
                </c:pt>
                <c:pt idx="53">
                  <c:v>129</c:v>
                </c:pt>
                <c:pt idx="54">
                  <c:v>129.5</c:v>
                </c:pt>
                <c:pt idx="55">
                  <c:v>129</c:v>
                </c:pt>
                <c:pt idx="56">
                  <c:v>130</c:v>
                </c:pt>
                <c:pt idx="57">
                  <c:v>128</c:v>
                </c:pt>
                <c:pt idx="58">
                  <c:v>125</c:v>
                </c:pt>
                <c:pt idx="59">
                  <c:v>126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Figurdata!$G$2:$G$61</c:f>
              <c:numCache>
                <c:ptCount val="60"/>
                <c:pt idx="0">
                  <c:v>140.025</c:v>
                </c:pt>
                <c:pt idx="1">
                  <c:v>140.025</c:v>
                </c:pt>
                <c:pt idx="2">
                  <c:v>140.025</c:v>
                </c:pt>
                <c:pt idx="3">
                  <c:v>139.2625</c:v>
                </c:pt>
                <c:pt idx="4">
                  <c:v>138.2875</c:v>
                </c:pt>
                <c:pt idx="5">
                  <c:v>135.675</c:v>
                </c:pt>
                <c:pt idx="6">
                  <c:v>131.2875</c:v>
                </c:pt>
                <c:pt idx="7">
                  <c:v>129.7875</c:v>
                </c:pt>
                <c:pt idx="8">
                  <c:v>129.7875</c:v>
                </c:pt>
                <c:pt idx="9">
                  <c:v>131.2875</c:v>
                </c:pt>
                <c:pt idx="10">
                  <c:v>131.525</c:v>
                </c:pt>
                <c:pt idx="11">
                  <c:v>132.525</c:v>
                </c:pt>
                <c:pt idx="12">
                  <c:v>132.525</c:v>
                </c:pt>
                <c:pt idx="13">
                  <c:v>132.525</c:v>
                </c:pt>
                <c:pt idx="14">
                  <c:v>132.525</c:v>
                </c:pt>
                <c:pt idx="15">
                  <c:v>132.525</c:v>
                </c:pt>
                <c:pt idx="16">
                  <c:v>132.525</c:v>
                </c:pt>
                <c:pt idx="17">
                  <c:v>132.7625</c:v>
                </c:pt>
                <c:pt idx="18">
                  <c:v>132.7625</c:v>
                </c:pt>
                <c:pt idx="19">
                  <c:v>132.7625</c:v>
                </c:pt>
                <c:pt idx="20">
                  <c:v>132.7625</c:v>
                </c:pt>
                <c:pt idx="21">
                  <c:v>132.7625</c:v>
                </c:pt>
                <c:pt idx="22">
                  <c:v>132.7625</c:v>
                </c:pt>
                <c:pt idx="23">
                  <c:v>132.7625</c:v>
                </c:pt>
                <c:pt idx="24">
                  <c:v>132.7625</c:v>
                </c:pt>
                <c:pt idx="25">
                  <c:v>132.7625</c:v>
                </c:pt>
                <c:pt idx="26">
                  <c:v>134.3125</c:v>
                </c:pt>
                <c:pt idx="27">
                  <c:v>135.025</c:v>
                </c:pt>
                <c:pt idx="28">
                  <c:v>135.025</c:v>
                </c:pt>
                <c:pt idx="29">
                  <c:v>135.7625</c:v>
                </c:pt>
                <c:pt idx="30">
                  <c:v>137.05</c:v>
                </c:pt>
                <c:pt idx="31">
                  <c:v>137.05</c:v>
                </c:pt>
                <c:pt idx="32">
                  <c:v>137.05</c:v>
                </c:pt>
                <c:pt idx="33">
                  <c:v>137.05</c:v>
                </c:pt>
                <c:pt idx="34">
                  <c:v>137.525</c:v>
                </c:pt>
                <c:pt idx="35">
                  <c:v>137.525</c:v>
                </c:pt>
                <c:pt idx="36">
                  <c:v>137.525</c:v>
                </c:pt>
                <c:pt idx="37">
                  <c:v>137.525</c:v>
                </c:pt>
                <c:pt idx="38">
                  <c:v>137.525</c:v>
                </c:pt>
                <c:pt idx="39">
                  <c:v>137.525</c:v>
                </c:pt>
                <c:pt idx="40">
                  <c:v>137.525</c:v>
                </c:pt>
                <c:pt idx="41">
                  <c:v>138</c:v>
                </c:pt>
                <c:pt idx="42">
                  <c:v>138</c:v>
                </c:pt>
                <c:pt idx="43">
                  <c:v>138</c:v>
                </c:pt>
                <c:pt idx="44">
                  <c:v>138</c:v>
                </c:pt>
                <c:pt idx="45">
                  <c:v>138</c:v>
                </c:pt>
                <c:pt idx="46">
                  <c:v>138</c:v>
                </c:pt>
                <c:pt idx="47">
                  <c:v>138</c:v>
                </c:pt>
                <c:pt idx="48">
                  <c:v>138</c:v>
                </c:pt>
                <c:pt idx="49">
                  <c:v>138</c:v>
                </c:pt>
                <c:pt idx="50">
                  <c:v>137.525</c:v>
                </c:pt>
                <c:pt idx="51">
                  <c:v>137.525</c:v>
                </c:pt>
                <c:pt idx="52">
                  <c:v>137.525</c:v>
                </c:pt>
                <c:pt idx="53">
                  <c:v>137.525</c:v>
                </c:pt>
                <c:pt idx="54">
                  <c:v>137.525</c:v>
                </c:pt>
                <c:pt idx="55">
                  <c:v>137.525</c:v>
                </c:pt>
                <c:pt idx="56">
                  <c:v>137.525</c:v>
                </c:pt>
                <c:pt idx="57">
                  <c:v>137.525</c:v>
                </c:pt>
                <c:pt idx="58">
                  <c:v>137.525</c:v>
                </c:pt>
                <c:pt idx="59">
                  <c:v>137.525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Figurdata!$H$2:$H$61</c:f>
              <c:numCache>
                <c:ptCount val="60"/>
                <c:pt idx="0">
                  <c:v>126.25</c:v>
                </c:pt>
                <c:pt idx="1">
                  <c:v>126</c:v>
                </c:pt>
                <c:pt idx="2">
                  <c:v>125.75</c:v>
                </c:pt>
                <c:pt idx="3">
                  <c:v>125.5</c:v>
                </c:pt>
                <c:pt idx="4">
                  <c:v>125.25</c:v>
                </c:pt>
                <c:pt idx="5">
                  <c:v>125.25</c:v>
                </c:pt>
                <c:pt idx="6">
                  <c:v>125.25</c:v>
                </c:pt>
                <c:pt idx="7">
                  <c:v>125.25</c:v>
                </c:pt>
                <c:pt idx="8">
                  <c:v>125.25</c:v>
                </c:pt>
                <c:pt idx="9">
                  <c:v>125.5</c:v>
                </c:pt>
                <c:pt idx="10">
                  <c:v>125.75</c:v>
                </c:pt>
                <c:pt idx="11">
                  <c:v>125.75</c:v>
                </c:pt>
                <c:pt idx="12">
                  <c:v>125.75</c:v>
                </c:pt>
                <c:pt idx="13">
                  <c:v>126.5</c:v>
                </c:pt>
                <c:pt idx="14">
                  <c:v>126.75</c:v>
                </c:pt>
                <c:pt idx="15">
                  <c:v>127.75</c:v>
                </c:pt>
                <c:pt idx="16">
                  <c:v>128</c:v>
                </c:pt>
                <c:pt idx="17">
                  <c:v>128.5</c:v>
                </c:pt>
                <c:pt idx="18">
                  <c:v>129.25</c:v>
                </c:pt>
                <c:pt idx="19">
                  <c:v>129.25</c:v>
                </c:pt>
                <c:pt idx="20">
                  <c:v>129.5</c:v>
                </c:pt>
                <c:pt idx="21">
                  <c:v>129.75</c:v>
                </c:pt>
                <c:pt idx="22">
                  <c:v>130.25</c:v>
                </c:pt>
                <c:pt idx="23">
                  <c:v>130.75</c:v>
                </c:pt>
                <c:pt idx="24">
                  <c:v>131</c:v>
                </c:pt>
                <c:pt idx="25">
                  <c:v>131</c:v>
                </c:pt>
                <c:pt idx="26">
                  <c:v>131</c:v>
                </c:pt>
                <c:pt idx="27">
                  <c:v>131.25</c:v>
                </c:pt>
                <c:pt idx="28">
                  <c:v>131.75</c:v>
                </c:pt>
                <c:pt idx="29">
                  <c:v>131.75</c:v>
                </c:pt>
                <c:pt idx="30">
                  <c:v>132</c:v>
                </c:pt>
                <c:pt idx="31">
                  <c:v>132</c:v>
                </c:pt>
                <c:pt idx="32">
                  <c:v>132</c:v>
                </c:pt>
                <c:pt idx="33">
                  <c:v>132.25</c:v>
                </c:pt>
                <c:pt idx="34">
                  <c:v>132.5</c:v>
                </c:pt>
                <c:pt idx="35">
                  <c:v>133</c:v>
                </c:pt>
                <c:pt idx="36">
                  <c:v>133</c:v>
                </c:pt>
                <c:pt idx="37">
                  <c:v>133.75</c:v>
                </c:pt>
                <c:pt idx="38">
                  <c:v>133.75</c:v>
                </c:pt>
                <c:pt idx="39">
                  <c:v>133.75</c:v>
                </c:pt>
                <c:pt idx="40">
                  <c:v>133.75</c:v>
                </c:pt>
                <c:pt idx="41">
                  <c:v>134</c:v>
                </c:pt>
                <c:pt idx="42">
                  <c:v>134.25</c:v>
                </c:pt>
                <c:pt idx="43">
                  <c:v>134.75</c:v>
                </c:pt>
                <c:pt idx="44">
                  <c:v>135.25</c:v>
                </c:pt>
                <c:pt idx="45">
                  <c:v>135.75</c:v>
                </c:pt>
                <c:pt idx="46">
                  <c:v>136</c:v>
                </c:pt>
                <c:pt idx="47">
                  <c:v>136</c:v>
                </c:pt>
                <c:pt idx="48">
                  <c:v>136</c:v>
                </c:pt>
                <c:pt idx="49">
                  <c:v>136</c:v>
                </c:pt>
                <c:pt idx="50">
                  <c:v>135.75</c:v>
                </c:pt>
                <c:pt idx="51">
                  <c:v>135.75</c:v>
                </c:pt>
                <c:pt idx="52">
                  <c:v>135.75</c:v>
                </c:pt>
                <c:pt idx="53">
                  <c:v>135</c:v>
                </c:pt>
                <c:pt idx="54">
                  <c:v>134.25</c:v>
                </c:pt>
                <c:pt idx="55">
                  <c:v>134</c:v>
                </c:pt>
                <c:pt idx="56">
                  <c:v>134</c:v>
                </c:pt>
                <c:pt idx="57">
                  <c:v>133.75</c:v>
                </c:pt>
                <c:pt idx="58">
                  <c:v>133.75</c:v>
                </c:pt>
                <c:pt idx="59">
                  <c:v>133.75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Figurdata!$I$2:$I$61</c:f>
              <c:numCache>
                <c:ptCount val="60"/>
                <c:pt idx="0">
                  <c:v>118.475</c:v>
                </c:pt>
                <c:pt idx="1">
                  <c:v>118.475</c:v>
                </c:pt>
                <c:pt idx="2">
                  <c:v>118.475</c:v>
                </c:pt>
                <c:pt idx="3">
                  <c:v>118.475</c:v>
                </c:pt>
                <c:pt idx="4">
                  <c:v>118.475</c:v>
                </c:pt>
                <c:pt idx="5">
                  <c:v>118.475</c:v>
                </c:pt>
                <c:pt idx="6">
                  <c:v>118.475</c:v>
                </c:pt>
                <c:pt idx="7">
                  <c:v>118.475</c:v>
                </c:pt>
                <c:pt idx="8">
                  <c:v>118.475</c:v>
                </c:pt>
                <c:pt idx="9">
                  <c:v>118.475</c:v>
                </c:pt>
                <c:pt idx="10">
                  <c:v>118.475</c:v>
                </c:pt>
                <c:pt idx="11">
                  <c:v>118.475</c:v>
                </c:pt>
                <c:pt idx="12">
                  <c:v>118.475</c:v>
                </c:pt>
                <c:pt idx="13">
                  <c:v>118.475</c:v>
                </c:pt>
                <c:pt idx="14">
                  <c:v>118.475</c:v>
                </c:pt>
                <c:pt idx="15">
                  <c:v>118.475</c:v>
                </c:pt>
                <c:pt idx="16">
                  <c:v>118.475</c:v>
                </c:pt>
                <c:pt idx="17">
                  <c:v>118.475</c:v>
                </c:pt>
                <c:pt idx="18">
                  <c:v>118.7125</c:v>
                </c:pt>
                <c:pt idx="19">
                  <c:v>119.975</c:v>
                </c:pt>
                <c:pt idx="20">
                  <c:v>120.7375</c:v>
                </c:pt>
                <c:pt idx="21">
                  <c:v>121.45</c:v>
                </c:pt>
                <c:pt idx="22">
                  <c:v>123.6875</c:v>
                </c:pt>
                <c:pt idx="23">
                  <c:v>126.1875</c:v>
                </c:pt>
                <c:pt idx="24">
                  <c:v>127.7375</c:v>
                </c:pt>
                <c:pt idx="25">
                  <c:v>127.7375</c:v>
                </c:pt>
                <c:pt idx="26">
                  <c:v>127.7375</c:v>
                </c:pt>
                <c:pt idx="27">
                  <c:v>127.7375</c:v>
                </c:pt>
                <c:pt idx="28">
                  <c:v>127.975</c:v>
                </c:pt>
                <c:pt idx="29">
                  <c:v>127.975</c:v>
                </c:pt>
                <c:pt idx="30">
                  <c:v>127.975</c:v>
                </c:pt>
                <c:pt idx="31">
                  <c:v>127.975</c:v>
                </c:pt>
                <c:pt idx="32">
                  <c:v>127.975</c:v>
                </c:pt>
                <c:pt idx="33">
                  <c:v>127.975</c:v>
                </c:pt>
                <c:pt idx="34">
                  <c:v>128.975</c:v>
                </c:pt>
                <c:pt idx="35">
                  <c:v>128.975</c:v>
                </c:pt>
                <c:pt idx="36">
                  <c:v>128.975</c:v>
                </c:pt>
                <c:pt idx="37">
                  <c:v>128.975</c:v>
                </c:pt>
                <c:pt idx="38">
                  <c:v>128.975</c:v>
                </c:pt>
                <c:pt idx="39">
                  <c:v>129.7375</c:v>
                </c:pt>
                <c:pt idx="40">
                  <c:v>130.475</c:v>
                </c:pt>
                <c:pt idx="41">
                  <c:v>131.475</c:v>
                </c:pt>
                <c:pt idx="42">
                  <c:v>132</c:v>
                </c:pt>
                <c:pt idx="43">
                  <c:v>132</c:v>
                </c:pt>
                <c:pt idx="44">
                  <c:v>132.2375</c:v>
                </c:pt>
                <c:pt idx="45">
                  <c:v>132.2375</c:v>
                </c:pt>
                <c:pt idx="46">
                  <c:v>132.2375</c:v>
                </c:pt>
                <c:pt idx="47">
                  <c:v>132.2375</c:v>
                </c:pt>
                <c:pt idx="48">
                  <c:v>132.2375</c:v>
                </c:pt>
                <c:pt idx="49">
                  <c:v>132.2375</c:v>
                </c:pt>
                <c:pt idx="50">
                  <c:v>132.2375</c:v>
                </c:pt>
                <c:pt idx="51">
                  <c:v>131.2125</c:v>
                </c:pt>
                <c:pt idx="52">
                  <c:v>129.7125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128.475</c:v>
                </c:pt>
                <c:pt idx="58">
                  <c:v>126.425</c:v>
                </c:pt>
                <c:pt idx="59">
                  <c:v>125.475</c:v>
                </c:pt>
              </c:numCache>
            </c:numRef>
          </c:val>
          <c:smooth val="0"/>
        </c:ser>
        <c:axId val="64805794"/>
        <c:axId val="46381235"/>
      </c:lineChart>
      <c:dateAx>
        <c:axId val="64805794"/>
        <c:scaling>
          <c:orientation val="minMax"/>
        </c:scaling>
        <c:axPos val="b"/>
        <c:delete val="0"/>
        <c:numFmt formatCode="d\-mmm" sourceLinked="0"/>
        <c:majorTickMark val="out"/>
        <c:minorTickMark val="none"/>
        <c:tickLblPos val="nextTo"/>
        <c:txPr>
          <a:bodyPr vert="horz" rot="-1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0"/>
        <c:noMultiLvlLbl val="0"/>
      </c:dateAx>
      <c:valAx>
        <c:axId val="46381235"/>
        <c:scaling>
          <c:orientation val="minMax"/>
          <c:min val="1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Nokia, sluttkurs med akselerasjons- og Bollinger Bånd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95"/>
          <c:w val="0.981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Figurdata!$B$1</c:f>
              <c:strCache>
                <c:ptCount val="1"/>
                <c:pt idx="0">
                  <c:v>ØBånd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Figurdata!$B$2:$B$61</c:f>
              <c:numCache>
                <c:ptCount val="60"/>
                <c:pt idx="0">
                  <c:v>139.08693194892143</c:v>
                </c:pt>
                <c:pt idx="1">
                  <c:v>138.51619395862548</c:v>
                </c:pt>
                <c:pt idx="2">
                  <c:v>137.76799081042233</c:v>
                </c:pt>
                <c:pt idx="3">
                  <c:v>137.02516140743063</c:v>
                </c:pt>
                <c:pt idx="4">
                  <c:v>136.200458495963</c:v>
                </c:pt>
                <c:pt idx="5">
                  <c:v>135.9297835744423</c:v>
                </c:pt>
                <c:pt idx="6">
                  <c:v>135.24804386025576</c:v>
                </c:pt>
                <c:pt idx="7">
                  <c:v>133.46468240543763</c:v>
                </c:pt>
                <c:pt idx="8">
                  <c:v>133.30965431232906</c:v>
                </c:pt>
                <c:pt idx="9">
                  <c:v>133.71439892159648</c:v>
                </c:pt>
                <c:pt idx="10">
                  <c:v>133.63088803597242</c:v>
                </c:pt>
                <c:pt idx="11">
                  <c:v>133.95576776849757</c:v>
                </c:pt>
                <c:pt idx="12">
                  <c:v>134.3068452962829</c:v>
                </c:pt>
                <c:pt idx="13">
                  <c:v>134.27626043479535</c:v>
                </c:pt>
                <c:pt idx="14">
                  <c:v>134.9946666363457</c:v>
                </c:pt>
                <c:pt idx="15">
                  <c:v>135.3472161943218</c:v>
                </c:pt>
                <c:pt idx="16">
                  <c:v>135.6709534220064</c:v>
                </c:pt>
                <c:pt idx="17">
                  <c:v>136.1696037672669</c:v>
                </c:pt>
                <c:pt idx="18">
                  <c:v>136.7706149536889</c:v>
                </c:pt>
                <c:pt idx="19">
                  <c:v>137.49816148520145</c:v>
                </c:pt>
                <c:pt idx="20">
                  <c:v>137.7411435188812</c:v>
                </c:pt>
                <c:pt idx="21">
                  <c:v>137.83615730818065</c:v>
                </c:pt>
                <c:pt idx="22">
                  <c:v>138.10692417373716</c:v>
                </c:pt>
                <c:pt idx="23">
                  <c:v>138.3739136787141</c:v>
                </c:pt>
                <c:pt idx="24">
                  <c:v>138.9524720763789</c:v>
                </c:pt>
                <c:pt idx="25">
                  <c:v>138.69314186522791</c:v>
                </c:pt>
                <c:pt idx="26">
                  <c:v>139.04405740359024</c:v>
                </c:pt>
                <c:pt idx="27">
                  <c:v>139.31699557798513</c:v>
                </c:pt>
                <c:pt idx="28">
                  <c:v>139.46455619812323</c:v>
                </c:pt>
                <c:pt idx="29">
                  <c:v>139.53446946415477</c:v>
                </c:pt>
                <c:pt idx="30">
                  <c:v>139.88429650839575</c:v>
                </c:pt>
                <c:pt idx="31">
                  <c:v>139.88278002191765</c:v>
                </c:pt>
                <c:pt idx="32">
                  <c:v>139.77962919290175</c:v>
                </c:pt>
                <c:pt idx="33">
                  <c:v>139.82808906936918</c:v>
                </c:pt>
                <c:pt idx="34">
                  <c:v>139.50556805977493</c:v>
                </c:pt>
                <c:pt idx="35">
                  <c:v>139.5259263910111</c:v>
                </c:pt>
                <c:pt idx="36">
                  <c:v>139.62589065439005</c:v>
                </c:pt>
                <c:pt idx="37">
                  <c:v>139.700864352167</c:v>
                </c:pt>
                <c:pt idx="38">
                  <c:v>139.4463016145244</c:v>
                </c:pt>
                <c:pt idx="39">
                  <c:v>139.80048467848678</c:v>
                </c:pt>
                <c:pt idx="40">
                  <c:v>140.05128549270225</c:v>
                </c:pt>
                <c:pt idx="41">
                  <c:v>140.70717228381838</c:v>
                </c:pt>
                <c:pt idx="42">
                  <c:v>141.10860544114993</c:v>
                </c:pt>
                <c:pt idx="43">
                  <c:v>141.33352768414574</c:v>
                </c:pt>
                <c:pt idx="44">
                  <c:v>141.2782667030598</c:v>
                </c:pt>
                <c:pt idx="45">
                  <c:v>141.50318836453292</c:v>
                </c:pt>
                <c:pt idx="46">
                  <c:v>141.55316385472898</c:v>
                </c:pt>
                <c:pt idx="47">
                  <c:v>141.67897595122912</c:v>
                </c:pt>
                <c:pt idx="48">
                  <c:v>141.75395003867538</c:v>
                </c:pt>
                <c:pt idx="49">
                  <c:v>141.80391680087249</c:v>
                </c:pt>
                <c:pt idx="50">
                  <c:v>141.68021315794505</c:v>
                </c:pt>
                <c:pt idx="51">
                  <c:v>141.60675634517182</c:v>
                </c:pt>
                <c:pt idx="52">
                  <c:v>141.58370649369306</c:v>
                </c:pt>
                <c:pt idx="53">
                  <c:v>141.2844372007171</c:v>
                </c:pt>
                <c:pt idx="54">
                  <c:v>140.80801906078406</c:v>
                </c:pt>
                <c:pt idx="55">
                  <c:v>140.68625635452042</c:v>
                </c:pt>
                <c:pt idx="56">
                  <c:v>140.6373462532644</c:v>
                </c:pt>
                <c:pt idx="57">
                  <c:v>140.41352045204852</c:v>
                </c:pt>
                <c:pt idx="58">
                  <c:v>140.34185102464951</c:v>
                </c:pt>
                <c:pt idx="59">
                  <c:v>139.7616610251419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Figurdata!$C$1</c:f>
              <c:strCache>
                <c:ptCount val="1"/>
                <c:pt idx="0">
                  <c:v>NBånd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Figurdata!$C$2:$C$61</c:f>
              <c:numCache>
                <c:ptCount val="60"/>
                <c:pt idx="0">
                  <c:v>119.08693194892143</c:v>
                </c:pt>
                <c:pt idx="1">
                  <c:v>118.14119395862546</c:v>
                </c:pt>
                <c:pt idx="2">
                  <c:v>117.26799081042236</c:v>
                </c:pt>
                <c:pt idx="3">
                  <c:v>116.02516140743064</c:v>
                </c:pt>
                <c:pt idx="4">
                  <c:v>115.20045849596303</c:v>
                </c:pt>
                <c:pt idx="5">
                  <c:v>114.67978357444228</c:v>
                </c:pt>
                <c:pt idx="6">
                  <c:v>114.62304386025578</c:v>
                </c:pt>
                <c:pt idx="7">
                  <c:v>115.33968240543763</c:v>
                </c:pt>
                <c:pt idx="8">
                  <c:v>115.55965431232906</c:v>
                </c:pt>
                <c:pt idx="9">
                  <c:v>115.58939892159651</c:v>
                </c:pt>
                <c:pt idx="10">
                  <c:v>116.13088803597243</c:v>
                </c:pt>
                <c:pt idx="11">
                  <c:v>116.45576776849757</c:v>
                </c:pt>
                <c:pt idx="12">
                  <c:v>116.68184529628289</c:v>
                </c:pt>
                <c:pt idx="13">
                  <c:v>117.15126043479533</c:v>
                </c:pt>
                <c:pt idx="14">
                  <c:v>116.86966663634571</c:v>
                </c:pt>
                <c:pt idx="15">
                  <c:v>116.97221619432177</c:v>
                </c:pt>
                <c:pt idx="16">
                  <c:v>117.42095342200639</c:v>
                </c:pt>
                <c:pt idx="17">
                  <c:v>118.04460376726688</c:v>
                </c:pt>
                <c:pt idx="18">
                  <c:v>118.52061495368889</c:v>
                </c:pt>
                <c:pt idx="19">
                  <c:v>118.87316148520145</c:v>
                </c:pt>
                <c:pt idx="20">
                  <c:v>119.74114351888116</c:v>
                </c:pt>
                <c:pt idx="21">
                  <c:v>120.33615730818062</c:v>
                </c:pt>
                <c:pt idx="22">
                  <c:v>121.10692417373716</c:v>
                </c:pt>
                <c:pt idx="23">
                  <c:v>121.99891367871408</c:v>
                </c:pt>
                <c:pt idx="24">
                  <c:v>122.20247207637894</c:v>
                </c:pt>
                <c:pt idx="25">
                  <c:v>122.69314186522793</c:v>
                </c:pt>
                <c:pt idx="26">
                  <c:v>122.91905740359027</c:v>
                </c:pt>
                <c:pt idx="27">
                  <c:v>123.44199557798513</c:v>
                </c:pt>
                <c:pt idx="28">
                  <c:v>123.83955619812323</c:v>
                </c:pt>
                <c:pt idx="29">
                  <c:v>124.2844694641548</c:v>
                </c:pt>
                <c:pt idx="30">
                  <c:v>124.63429650839575</c:v>
                </c:pt>
                <c:pt idx="31">
                  <c:v>124.88278002191767</c:v>
                </c:pt>
                <c:pt idx="32">
                  <c:v>125.15462919290175</c:v>
                </c:pt>
                <c:pt idx="33">
                  <c:v>125.45308906936921</c:v>
                </c:pt>
                <c:pt idx="34">
                  <c:v>126.50556805977494</c:v>
                </c:pt>
                <c:pt idx="35">
                  <c:v>127.02592639101113</c:v>
                </c:pt>
                <c:pt idx="36">
                  <c:v>127.12589065439003</c:v>
                </c:pt>
                <c:pt idx="37">
                  <c:v>127.20086435216699</c:v>
                </c:pt>
                <c:pt idx="38">
                  <c:v>127.44630161452442</c:v>
                </c:pt>
                <c:pt idx="39">
                  <c:v>127.42548467848678</c:v>
                </c:pt>
                <c:pt idx="40">
                  <c:v>127.5512854927022</c:v>
                </c:pt>
                <c:pt idx="41">
                  <c:v>127.58217228381838</c:v>
                </c:pt>
                <c:pt idx="42">
                  <c:v>127.73360544114989</c:v>
                </c:pt>
                <c:pt idx="43">
                  <c:v>127.95852768414572</c:v>
                </c:pt>
                <c:pt idx="44">
                  <c:v>128.5282667030598</c:v>
                </c:pt>
                <c:pt idx="45">
                  <c:v>128.75318836453292</c:v>
                </c:pt>
                <c:pt idx="46">
                  <c:v>128.80316385472898</c:v>
                </c:pt>
                <c:pt idx="47">
                  <c:v>128.80397595122915</c:v>
                </c:pt>
                <c:pt idx="48">
                  <c:v>128.8789500386754</c:v>
                </c:pt>
                <c:pt idx="49">
                  <c:v>128.9289168008725</c:v>
                </c:pt>
                <c:pt idx="50">
                  <c:v>128.68021315794505</c:v>
                </c:pt>
                <c:pt idx="51">
                  <c:v>128.35675634517182</c:v>
                </c:pt>
                <c:pt idx="52">
                  <c:v>128.08370649369306</c:v>
                </c:pt>
                <c:pt idx="53">
                  <c:v>127.6594372007171</c:v>
                </c:pt>
                <c:pt idx="54">
                  <c:v>127.43301906078409</c:v>
                </c:pt>
                <c:pt idx="55">
                  <c:v>126.9362563545204</c:v>
                </c:pt>
                <c:pt idx="56">
                  <c:v>126.76234625326438</c:v>
                </c:pt>
                <c:pt idx="57">
                  <c:v>126.41352045204853</c:v>
                </c:pt>
                <c:pt idx="58">
                  <c:v>125.96685102464951</c:v>
                </c:pt>
                <c:pt idx="59">
                  <c:v>125.88666102514189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Figurdata!$D$1</c:f>
              <c:strCache>
                <c:ptCount val="1"/>
                <c:pt idx="0">
                  <c:v>ØvreBB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Figurdata!$D$2:$D$61</c:f>
              <c:numCache>
                <c:ptCount val="60"/>
                <c:pt idx="0">
                  <c:v>143.0582735016955</c:v>
                </c:pt>
                <c:pt idx="1">
                  <c:v>141.97798214409883</c:v>
                </c:pt>
                <c:pt idx="2">
                  <c:v>140.81617763611834</c:v>
                </c:pt>
                <c:pt idx="3">
                  <c:v>138.54192967609052</c:v>
                </c:pt>
                <c:pt idx="4">
                  <c:v>136.18130551561802</c:v>
                </c:pt>
                <c:pt idx="5">
                  <c:v>134.6217778153364</c:v>
                </c:pt>
                <c:pt idx="6">
                  <c:v>131.95676606115723</c:v>
                </c:pt>
                <c:pt idx="7">
                  <c:v>131.1277168564269</c:v>
                </c:pt>
                <c:pt idx="8">
                  <c:v>131.38385968127997</c:v>
                </c:pt>
                <c:pt idx="9">
                  <c:v>132.51280999384986</c:v>
                </c:pt>
                <c:pt idx="10">
                  <c:v>133.25434176127547</c:v>
                </c:pt>
                <c:pt idx="11">
                  <c:v>134.27440805847382</c:v>
                </c:pt>
                <c:pt idx="12">
                  <c:v>134.78977932999487</c:v>
                </c:pt>
                <c:pt idx="13">
                  <c:v>135.53723455235715</c:v>
                </c:pt>
                <c:pt idx="14">
                  <c:v>135.57676719162126</c:v>
                </c:pt>
                <c:pt idx="15">
                  <c:v>136.15931612019475</c:v>
                </c:pt>
                <c:pt idx="16">
                  <c:v>136.66637564633123</c:v>
                </c:pt>
                <c:pt idx="17">
                  <c:v>137.18916911622614</c:v>
                </c:pt>
                <c:pt idx="18">
                  <c:v>137.0366927082972</c:v>
                </c:pt>
                <c:pt idx="19">
                  <c:v>136.45313384767366</c:v>
                </c:pt>
                <c:pt idx="20">
                  <c:v>135.94325288497862</c:v>
                </c:pt>
                <c:pt idx="21">
                  <c:v>135.49583197078687</c:v>
                </c:pt>
                <c:pt idx="22">
                  <c:v>134.6809044912421</c:v>
                </c:pt>
                <c:pt idx="23">
                  <c:v>134.03492327290448</c:v>
                </c:pt>
                <c:pt idx="24">
                  <c:v>133.6761716605018</c:v>
                </c:pt>
                <c:pt idx="25">
                  <c:v>133.89576798346405</c:v>
                </c:pt>
                <c:pt idx="26">
                  <c:v>134.76781592116274</c:v>
                </c:pt>
                <c:pt idx="27">
                  <c:v>135.15533077488396</c:v>
                </c:pt>
                <c:pt idx="28">
                  <c:v>135.25499667110373</c:v>
                </c:pt>
                <c:pt idx="29">
                  <c:v>135.93556371690946</c:v>
                </c:pt>
                <c:pt idx="30">
                  <c:v>137.07891638427208</c:v>
                </c:pt>
                <c:pt idx="31">
                  <c:v>137.32783738639986</c:v>
                </c:pt>
                <c:pt idx="32">
                  <c:v>137.50960651105245</c:v>
                </c:pt>
                <c:pt idx="33">
                  <c:v>137.94977063737548</c:v>
                </c:pt>
                <c:pt idx="34">
                  <c:v>138.2520730523653</c:v>
                </c:pt>
                <c:pt idx="35">
                  <c:v>138.66995179042019</c:v>
                </c:pt>
                <c:pt idx="36">
                  <c:v>138.66097006147209</c:v>
                </c:pt>
                <c:pt idx="37">
                  <c:v>138.73107132140714</c:v>
                </c:pt>
                <c:pt idx="38">
                  <c:v>138.5990195135928</c:v>
                </c:pt>
                <c:pt idx="39">
                  <c:v>138.29090626272594</c:v>
                </c:pt>
                <c:pt idx="40">
                  <c:v>138.06353838933506</c:v>
                </c:pt>
                <c:pt idx="41">
                  <c:v>138.414926649709</c:v>
                </c:pt>
                <c:pt idx="42">
                  <c:v>138.425649295898</c:v>
                </c:pt>
                <c:pt idx="43">
                  <c:v>138.48276212829248</c:v>
                </c:pt>
                <c:pt idx="44">
                  <c:v>138.54964786985977</c:v>
                </c:pt>
                <c:pt idx="45">
                  <c:v>138.5554585487771</c:v>
                </c:pt>
                <c:pt idx="46">
                  <c:v>138.5970575502926</c:v>
                </c:pt>
                <c:pt idx="47">
                  <c:v>138.63378486313772</c:v>
                </c:pt>
                <c:pt idx="48">
                  <c:v>138.60756708170825</c:v>
                </c:pt>
                <c:pt idx="49">
                  <c:v>138.7278691508109</c:v>
                </c:pt>
                <c:pt idx="50">
                  <c:v>138.3453090617341</c:v>
                </c:pt>
                <c:pt idx="51">
                  <c:v>138.71016842425803</c:v>
                </c:pt>
                <c:pt idx="52">
                  <c:v>139.24965845719657</c:v>
                </c:pt>
                <c:pt idx="53">
                  <c:v>139.47548541401682</c:v>
                </c:pt>
                <c:pt idx="54">
                  <c:v>139.35277706369604</c:v>
                </c:pt>
                <c:pt idx="55">
                  <c:v>139.25192698561466</c:v>
                </c:pt>
                <c:pt idx="56">
                  <c:v>139.3228187440104</c:v>
                </c:pt>
                <c:pt idx="57">
                  <c:v>139.4753458403474</c:v>
                </c:pt>
                <c:pt idx="58">
                  <c:v>140.04844810976806</c:v>
                </c:pt>
                <c:pt idx="59">
                  <c:v>140.27879301041992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Figurdata!$E$1</c:f>
              <c:strCache>
                <c:ptCount val="1"/>
                <c:pt idx="0">
                  <c:v>NedreBB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Figurdata!$E$2:$E$61</c:f>
              <c:numCache>
                <c:ptCount val="60"/>
                <c:pt idx="0">
                  <c:v>114.0417264983045</c:v>
                </c:pt>
                <c:pt idx="1">
                  <c:v>113.47201785590117</c:v>
                </c:pt>
                <c:pt idx="2">
                  <c:v>112.98382236388167</c:v>
                </c:pt>
                <c:pt idx="3">
                  <c:v>113.45807032390948</c:v>
                </c:pt>
                <c:pt idx="4">
                  <c:v>114.36869448438199</c:v>
                </c:pt>
                <c:pt idx="5">
                  <c:v>115.22822218466361</c:v>
                </c:pt>
                <c:pt idx="6">
                  <c:v>116.89323393884276</c:v>
                </c:pt>
                <c:pt idx="7">
                  <c:v>117.3222831435731</c:v>
                </c:pt>
                <c:pt idx="8">
                  <c:v>117.26614031872003</c:v>
                </c:pt>
                <c:pt idx="9">
                  <c:v>116.88719000615016</c:v>
                </c:pt>
                <c:pt idx="10">
                  <c:v>116.69565823872452</c:v>
                </c:pt>
                <c:pt idx="11">
                  <c:v>116.32559194152617</c:v>
                </c:pt>
                <c:pt idx="12">
                  <c:v>116.21022067000513</c:v>
                </c:pt>
                <c:pt idx="13">
                  <c:v>116.11276544764286</c:v>
                </c:pt>
                <c:pt idx="14">
                  <c:v>116.12323280837872</c:v>
                </c:pt>
                <c:pt idx="15">
                  <c:v>116.09068387980525</c:v>
                </c:pt>
                <c:pt idx="16">
                  <c:v>116.38362435366878</c:v>
                </c:pt>
                <c:pt idx="17">
                  <c:v>117.06083088377386</c:v>
                </c:pt>
                <c:pt idx="18">
                  <c:v>118.2633072917028</c:v>
                </c:pt>
                <c:pt idx="19">
                  <c:v>119.89686615232637</c:v>
                </c:pt>
                <c:pt idx="20">
                  <c:v>121.40674711502139</c:v>
                </c:pt>
                <c:pt idx="21">
                  <c:v>122.75416802921313</c:v>
                </c:pt>
                <c:pt idx="22">
                  <c:v>124.6190955087579</c:v>
                </c:pt>
                <c:pt idx="23">
                  <c:v>126.21507672709554</c:v>
                </c:pt>
                <c:pt idx="24">
                  <c:v>127.27382833949817</c:v>
                </c:pt>
                <c:pt idx="25">
                  <c:v>127.25423201653592</c:v>
                </c:pt>
                <c:pt idx="26">
                  <c:v>127.03218407883726</c:v>
                </c:pt>
                <c:pt idx="27">
                  <c:v>127.29466922511602</c:v>
                </c:pt>
                <c:pt idx="28">
                  <c:v>127.74500332889629</c:v>
                </c:pt>
                <c:pt idx="29">
                  <c:v>127.46443628309052</c:v>
                </c:pt>
                <c:pt idx="30">
                  <c:v>127.02108361572795</c:v>
                </c:pt>
                <c:pt idx="31">
                  <c:v>126.97216261360016</c:v>
                </c:pt>
                <c:pt idx="32">
                  <c:v>127.09039348894757</c:v>
                </c:pt>
                <c:pt idx="33">
                  <c:v>127.05022936262452</c:v>
                </c:pt>
                <c:pt idx="34">
                  <c:v>127.6979269476347</c:v>
                </c:pt>
                <c:pt idx="35">
                  <c:v>127.7800482095798</c:v>
                </c:pt>
                <c:pt idx="36">
                  <c:v>127.93902993852792</c:v>
                </c:pt>
                <c:pt idx="37">
                  <c:v>128.01892867859286</c:v>
                </c:pt>
                <c:pt idx="38">
                  <c:v>128.4009804864072</c:v>
                </c:pt>
                <c:pt idx="39">
                  <c:v>129.15909373727405</c:v>
                </c:pt>
                <c:pt idx="40">
                  <c:v>129.78646161066496</c:v>
                </c:pt>
                <c:pt idx="41">
                  <c:v>130.23507335029097</c:v>
                </c:pt>
                <c:pt idx="42">
                  <c:v>130.72435070410197</c:v>
                </c:pt>
                <c:pt idx="43">
                  <c:v>131.06723787170753</c:v>
                </c:pt>
                <c:pt idx="44">
                  <c:v>131.45035213014023</c:v>
                </c:pt>
                <c:pt idx="45">
                  <c:v>131.79454145122293</c:v>
                </c:pt>
                <c:pt idx="46">
                  <c:v>131.8029424497074</c:v>
                </c:pt>
                <c:pt idx="47">
                  <c:v>131.86621513686228</c:v>
                </c:pt>
                <c:pt idx="48">
                  <c:v>131.99243291829177</c:v>
                </c:pt>
                <c:pt idx="49">
                  <c:v>131.97213084918909</c:v>
                </c:pt>
                <c:pt idx="50">
                  <c:v>131.9546909382659</c:v>
                </c:pt>
                <c:pt idx="51">
                  <c:v>131.139831575742</c:v>
                </c:pt>
                <c:pt idx="52">
                  <c:v>130.10034154280345</c:v>
                </c:pt>
                <c:pt idx="53">
                  <c:v>129.17451458598316</c:v>
                </c:pt>
                <c:pt idx="54">
                  <c:v>128.54722293630394</c:v>
                </c:pt>
                <c:pt idx="55">
                  <c:v>127.89807301438532</c:v>
                </c:pt>
                <c:pt idx="56">
                  <c:v>127.57718125598959</c:v>
                </c:pt>
                <c:pt idx="57">
                  <c:v>126.82465415965262</c:v>
                </c:pt>
                <c:pt idx="58">
                  <c:v>125.55155189023196</c:v>
                </c:pt>
                <c:pt idx="59">
                  <c:v>124.62120698958006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Figurdata!$F$1</c:f>
              <c:strCache>
                <c:ptCount val="1"/>
                <c:pt idx="0">
                  <c:v>Slutt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Figurdata!$A$2:$A$61</c:f>
              <c:strCache>
                <c:ptCount val="60"/>
                <c:pt idx="0">
                  <c:v>37890</c:v>
                </c:pt>
                <c:pt idx="1">
                  <c:v>37893</c:v>
                </c:pt>
                <c:pt idx="2">
                  <c:v>37894</c:v>
                </c:pt>
                <c:pt idx="3">
                  <c:v>37895</c:v>
                </c:pt>
                <c:pt idx="4">
                  <c:v>37896</c:v>
                </c:pt>
                <c:pt idx="5">
                  <c:v>37897</c:v>
                </c:pt>
                <c:pt idx="6">
                  <c:v>37900</c:v>
                </c:pt>
                <c:pt idx="7">
                  <c:v>37901</c:v>
                </c:pt>
                <c:pt idx="8">
                  <c:v>37902</c:v>
                </c:pt>
                <c:pt idx="9">
                  <c:v>37903</c:v>
                </c:pt>
                <c:pt idx="10">
                  <c:v>37904</c:v>
                </c:pt>
                <c:pt idx="11">
                  <c:v>37907</c:v>
                </c:pt>
                <c:pt idx="12">
                  <c:v>37908</c:v>
                </c:pt>
                <c:pt idx="13">
                  <c:v>37909</c:v>
                </c:pt>
                <c:pt idx="14">
                  <c:v>37910</c:v>
                </c:pt>
                <c:pt idx="15">
                  <c:v>37911</c:v>
                </c:pt>
                <c:pt idx="16">
                  <c:v>37914</c:v>
                </c:pt>
                <c:pt idx="17">
                  <c:v>37915</c:v>
                </c:pt>
                <c:pt idx="18">
                  <c:v>37916</c:v>
                </c:pt>
                <c:pt idx="19">
                  <c:v>37917</c:v>
                </c:pt>
                <c:pt idx="20">
                  <c:v>37918</c:v>
                </c:pt>
                <c:pt idx="21">
                  <c:v>37921</c:v>
                </c:pt>
                <c:pt idx="22">
                  <c:v>37922</c:v>
                </c:pt>
                <c:pt idx="23">
                  <c:v>37923</c:v>
                </c:pt>
                <c:pt idx="24">
                  <c:v>37924</c:v>
                </c:pt>
                <c:pt idx="25">
                  <c:v>37925</c:v>
                </c:pt>
                <c:pt idx="26">
                  <c:v>37928</c:v>
                </c:pt>
                <c:pt idx="27">
                  <c:v>37929</c:v>
                </c:pt>
                <c:pt idx="28">
                  <c:v>37930</c:v>
                </c:pt>
                <c:pt idx="29">
                  <c:v>37931</c:v>
                </c:pt>
                <c:pt idx="30">
                  <c:v>37932</c:v>
                </c:pt>
                <c:pt idx="31">
                  <c:v>37935</c:v>
                </c:pt>
                <c:pt idx="32">
                  <c:v>37936</c:v>
                </c:pt>
                <c:pt idx="33">
                  <c:v>37937</c:v>
                </c:pt>
                <c:pt idx="34">
                  <c:v>37938</c:v>
                </c:pt>
                <c:pt idx="35">
                  <c:v>37939</c:v>
                </c:pt>
                <c:pt idx="36">
                  <c:v>37942</c:v>
                </c:pt>
                <c:pt idx="37">
                  <c:v>37943</c:v>
                </c:pt>
                <c:pt idx="38">
                  <c:v>37944</c:v>
                </c:pt>
                <c:pt idx="39">
                  <c:v>37945</c:v>
                </c:pt>
                <c:pt idx="40">
                  <c:v>37946</c:v>
                </c:pt>
                <c:pt idx="41">
                  <c:v>37949</c:v>
                </c:pt>
                <c:pt idx="42">
                  <c:v>37950</c:v>
                </c:pt>
                <c:pt idx="43">
                  <c:v>37951</c:v>
                </c:pt>
                <c:pt idx="44">
                  <c:v>37952</c:v>
                </c:pt>
                <c:pt idx="45">
                  <c:v>37953</c:v>
                </c:pt>
                <c:pt idx="46">
                  <c:v>37956</c:v>
                </c:pt>
                <c:pt idx="47">
                  <c:v>37957</c:v>
                </c:pt>
                <c:pt idx="48">
                  <c:v>37958</c:v>
                </c:pt>
                <c:pt idx="49">
                  <c:v>37959</c:v>
                </c:pt>
                <c:pt idx="50">
                  <c:v>37960</c:v>
                </c:pt>
                <c:pt idx="51">
                  <c:v>37963</c:v>
                </c:pt>
                <c:pt idx="52">
                  <c:v>37964</c:v>
                </c:pt>
                <c:pt idx="53">
                  <c:v>37965</c:v>
                </c:pt>
                <c:pt idx="54">
                  <c:v>37966</c:v>
                </c:pt>
                <c:pt idx="55">
                  <c:v>37967</c:v>
                </c:pt>
                <c:pt idx="56">
                  <c:v>37970</c:v>
                </c:pt>
                <c:pt idx="57">
                  <c:v>37971</c:v>
                </c:pt>
                <c:pt idx="58">
                  <c:v>37972</c:v>
                </c:pt>
                <c:pt idx="59">
                  <c:v>37973</c:v>
                </c:pt>
              </c:strCache>
            </c:strRef>
          </c:cat>
          <c:val>
            <c:numRef>
              <c:f>Figurdata!$F$2:$F$61</c:f>
              <c:numCache>
                <c:ptCount val="60"/>
                <c:pt idx="0">
                  <c:v>119.5</c:v>
                </c:pt>
                <c:pt idx="1">
                  <c:v>121</c:v>
                </c:pt>
                <c:pt idx="2">
                  <c:v>120.5</c:v>
                </c:pt>
                <c:pt idx="3">
                  <c:v>122.5</c:v>
                </c:pt>
                <c:pt idx="4">
                  <c:v>125</c:v>
                </c:pt>
                <c:pt idx="5">
                  <c:v>130.5</c:v>
                </c:pt>
                <c:pt idx="6">
                  <c:v>129</c:v>
                </c:pt>
                <c:pt idx="7">
                  <c:v>128</c:v>
                </c:pt>
                <c:pt idx="8">
                  <c:v>128</c:v>
                </c:pt>
                <c:pt idx="9">
                  <c:v>132</c:v>
                </c:pt>
                <c:pt idx="10">
                  <c:v>131</c:v>
                </c:pt>
                <c:pt idx="11">
                  <c:v>133</c:v>
                </c:pt>
                <c:pt idx="12">
                  <c:v>131</c:v>
                </c:pt>
                <c:pt idx="13">
                  <c:v>132</c:v>
                </c:pt>
                <c:pt idx="14">
                  <c:v>127.5</c:v>
                </c:pt>
                <c:pt idx="15">
                  <c:v>131.5</c:v>
                </c:pt>
                <c:pt idx="16">
                  <c:v>131</c:v>
                </c:pt>
                <c:pt idx="17">
                  <c:v>132.5</c:v>
                </c:pt>
                <c:pt idx="18">
                  <c:v>129.5</c:v>
                </c:pt>
                <c:pt idx="19">
                  <c:v>128.5</c:v>
                </c:pt>
                <c:pt idx="20">
                  <c:v>129.5</c:v>
                </c:pt>
                <c:pt idx="21">
                  <c:v>130</c:v>
                </c:pt>
                <c:pt idx="22">
                  <c:v>131</c:v>
                </c:pt>
                <c:pt idx="23">
                  <c:v>132</c:v>
                </c:pt>
                <c:pt idx="24">
                  <c:v>132</c:v>
                </c:pt>
                <c:pt idx="25">
                  <c:v>132.5</c:v>
                </c:pt>
                <c:pt idx="26">
                  <c:v>135.5</c:v>
                </c:pt>
                <c:pt idx="27">
                  <c:v>134.5</c:v>
                </c:pt>
                <c:pt idx="28">
                  <c:v>133.5</c:v>
                </c:pt>
                <c:pt idx="29">
                  <c:v>136</c:v>
                </c:pt>
                <c:pt idx="30">
                  <c:v>138</c:v>
                </c:pt>
                <c:pt idx="31">
                  <c:v>135</c:v>
                </c:pt>
                <c:pt idx="32">
                  <c:v>134</c:v>
                </c:pt>
                <c:pt idx="33">
                  <c:v>136</c:v>
                </c:pt>
                <c:pt idx="34">
                  <c:v>137</c:v>
                </c:pt>
                <c:pt idx="35">
                  <c:v>136.5</c:v>
                </c:pt>
                <c:pt idx="36">
                  <c:v>132.5</c:v>
                </c:pt>
                <c:pt idx="37">
                  <c:v>134</c:v>
                </c:pt>
                <c:pt idx="38">
                  <c:v>132</c:v>
                </c:pt>
                <c:pt idx="39">
                  <c:v>133</c:v>
                </c:pt>
                <c:pt idx="40">
                  <c:v>133.5</c:v>
                </c:pt>
                <c:pt idx="41">
                  <c:v>138</c:v>
                </c:pt>
                <c:pt idx="42">
                  <c:v>136</c:v>
                </c:pt>
                <c:pt idx="43">
                  <c:v>136</c:v>
                </c:pt>
                <c:pt idx="44">
                  <c:v>136.5</c:v>
                </c:pt>
                <c:pt idx="45">
                  <c:v>136</c:v>
                </c:pt>
                <c:pt idx="46">
                  <c:v>136</c:v>
                </c:pt>
                <c:pt idx="47">
                  <c:v>135.5</c:v>
                </c:pt>
                <c:pt idx="48">
                  <c:v>134.5</c:v>
                </c:pt>
                <c:pt idx="49">
                  <c:v>137</c:v>
                </c:pt>
                <c:pt idx="50">
                  <c:v>134</c:v>
                </c:pt>
                <c:pt idx="51">
                  <c:v>130.5</c:v>
                </c:pt>
                <c:pt idx="52">
                  <c:v>129</c:v>
                </c:pt>
                <c:pt idx="53">
                  <c:v>129</c:v>
                </c:pt>
                <c:pt idx="54">
                  <c:v>129.5</c:v>
                </c:pt>
                <c:pt idx="55">
                  <c:v>129</c:v>
                </c:pt>
                <c:pt idx="56">
                  <c:v>130</c:v>
                </c:pt>
                <c:pt idx="57">
                  <c:v>128</c:v>
                </c:pt>
                <c:pt idx="58">
                  <c:v>125</c:v>
                </c:pt>
                <c:pt idx="59">
                  <c:v>126</c:v>
                </c:pt>
              </c:numCache>
            </c:numRef>
          </c:val>
          <c:smooth val="0"/>
        </c:ser>
        <c:axId val="14777932"/>
        <c:axId val="65892525"/>
      </c:lineChart>
      <c:dateAx>
        <c:axId val="1477793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25400">
            <a:solidFill/>
          </a:ln>
        </c:spPr>
        <c:crossAx val="65892525"/>
        <c:crosses val="autoZero"/>
        <c:auto val="0"/>
        <c:minorUnit val="1"/>
        <c:minorTimeUnit val="days"/>
        <c:noMultiLvlLbl val="0"/>
      </c:dateAx>
      <c:valAx>
        <c:axId val="65892525"/>
        <c:scaling>
          <c:orientation val="minMax"/>
          <c:min val="1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495925"/>
    <xdr:graphicFrame>
      <xdr:nvGraphicFramePr>
        <xdr:cNvPr id="1" name="Shape 1025"/>
        <xdr:cNvGraphicFramePr/>
      </xdr:nvGraphicFramePr>
      <xdr:xfrm>
        <a:off x="0" y="0"/>
        <a:ext cx="97155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872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1" bestFit="1" customWidth="1"/>
    <col min="2" max="3" width="5.57421875" style="6" bestFit="1" customWidth="1"/>
    <col min="4" max="4" width="5.57421875" style="6" customWidth="1"/>
    <col min="5" max="5" width="5.57421875" style="6" bestFit="1" customWidth="1"/>
    <col min="6" max="6" width="9.57421875" style="1" customWidth="1"/>
    <col min="7" max="7" width="8.00390625" style="4" customWidth="1"/>
    <col min="8" max="9" width="4.00390625" style="4" customWidth="1"/>
    <col min="10" max="10" width="6.7109375" style="9" customWidth="1"/>
    <col min="11" max="11" width="6.57421875" style="9" customWidth="1"/>
    <col min="12" max="12" width="6.57421875" style="6" customWidth="1"/>
    <col min="13" max="13" width="5.8515625" style="6" customWidth="1"/>
    <col min="14" max="14" width="6.7109375" style="13" customWidth="1"/>
    <col min="15" max="15" width="5.8515625" style="13" customWidth="1"/>
    <col min="16" max="16" width="6.57421875" style="13" customWidth="1"/>
    <col min="17" max="17" width="5.00390625" style="1" customWidth="1"/>
    <col min="18" max="18" width="8.00390625" style="1" customWidth="1"/>
    <col min="19" max="19" width="7.7109375" style="1" customWidth="1"/>
    <col min="20" max="20" width="4.57421875" style="6" customWidth="1"/>
    <col min="21" max="21" width="4.28125" style="1" customWidth="1"/>
    <col min="22" max="23" width="4.57421875" style="1" customWidth="1"/>
    <col min="24" max="24" width="5.00390625" style="1" customWidth="1"/>
    <col min="25" max="25" width="4.8515625" style="1" customWidth="1"/>
    <col min="26" max="26" width="6.00390625" style="1" customWidth="1"/>
    <col min="27" max="27" width="5.421875" style="1" customWidth="1"/>
    <col min="28" max="28" width="5.28125" style="31" customWidth="1"/>
    <col min="29" max="29" width="7.140625" style="1" customWidth="1"/>
    <col min="30" max="30" width="6.421875" style="1" customWidth="1"/>
    <col min="31" max="31" width="5.8515625" style="16" customWidth="1"/>
    <col min="32" max="32" width="5.28125" style="16" customWidth="1"/>
    <col min="33" max="33" width="5.8515625" style="1" customWidth="1"/>
    <col min="34" max="34" width="7.140625" style="1" customWidth="1"/>
    <col min="35" max="35" width="3.28125" style="16" customWidth="1"/>
    <col min="36" max="36" width="4.57421875" style="16" customWidth="1"/>
    <col min="37" max="37" width="5.8515625" style="16" customWidth="1"/>
    <col min="38" max="38" width="5.00390625" style="16" customWidth="1"/>
    <col min="39" max="39" width="5.00390625" style="59" customWidth="1"/>
    <col min="40" max="40" width="7.421875" style="58" customWidth="1"/>
    <col min="41" max="41" width="5.8515625" style="58" customWidth="1"/>
    <col min="42" max="42" width="12.140625" style="59" customWidth="1"/>
    <col min="43" max="43" width="6.00390625" style="1" customWidth="1"/>
    <col min="44" max="44" width="5.57421875" style="38" bestFit="1" customWidth="1"/>
    <col min="45" max="45" width="5.421875" style="39" customWidth="1"/>
    <col min="46" max="46" width="6.28125" style="38" customWidth="1"/>
    <col min="47" max="47" width="6.00390625" style="39" customWidth="1"/>
    <col min="48" max="48" width="4.7109375" style="6" customWidth="1"/>
    <col min="49" max="49" width="4.7109375" style="1" bestFit="1" customWidth="1"/>
    <col min="50" max="50" width="6.28125" style="6" customWidth="1"/>
    <col min="51" max="51" width="6.57421875" style="6" customWidth="1"/>
    <col min="52" max="52" width="11.00390625" style="73" customWidth="1"/>
    <col min="53" max="53" width="13.57421875" style="68" customWidth="1"/>
    <col min="54" max="54" width="9.140625" style="40" customWidth="1"/>
    <col min="55" max="55" width="6.57421875" style="3" customWidth="1"/>
    <col min="56" max="56" width="12.00390625" style="3" customWidth="1"/>
    <col min="57" max="57" width="9.140625" style="3" customWidth="1"/>
    <col min="58" max="58" width="9.28125" style="3" bestFit="1" customWidth="1"/>
    <col min="59" max="61" width="9.140625" style="1" customWidth="1"/>
    <col min="62" max="62" width="6.57421875" style="18" customWidth="1"/>
    <col min="63" max="63" width="6.57421875" style="1" customWidth="1"/>
    <col min="64" max="64" width="8.140625" style="1" customWidth="1"/>
    <col min="65" max="65" width="11.421875" style="1" customWidth="1"/>
    <col min="66" max="66" width="9.140625" style="30" customWidth="1"/>
    <col min="67" max="69" width="9.140625" style="23" customWidth="1"/>
    <col min="70" max="70" width="9.140625" style="0" customWidth="1"/>
    <col min="71" max="72" width="9.140625" style="23" customWidth="1"/>
    <col min="73" max="73" width="12.00390625" style="6" customWidth="1"/>
    <col min="74" max="74" width="10.140625" style="6" customWidth="1"/>
    <col min="75" max="75" width="9.140625" style="6" customWidth="1"/>
    <col min="76" max="76" width="10.140625" style="28" customWidth="1"/>
    <col min="77" max="77" width="9.140625" style="28" customWidth="1"/>
    <col min="78" max="78" width="9.140625" style="27" customWidth="1"/>
    <col min="79" max="79" width="9.140625" style="33" customWidth="1"/>
    <col min="80" max="80" width="7.7109375" style="27" customWidth="1"/>
    <col min="81" max="81" width="10.00390625" style="66" customWidth="1"/>
    <col min="82" max="82" width="9.140625" style="56" customWidth="1"/>
    <col min="83" max="83" width="9.140625" style="66" customWidth="1"/>
    <col min="84" max="84" width="9.140625" style="56" customWidth="1"/>
    <col min="85" max="85" width="9.140625" style="66" customWidth="1"/>
    <col min="86" max="86" width="9.140625" style="56" customWidth="1"/>
    <col min="87" max="87" width="9.140625" style="66" customWidth="1"/>
    <col min="88" max="88" width="9.140625" style="56" customWidth="1"/>
    <col min="89" max="89" width="9.140625" style="66" customWidth="1"/>
    <col min="90" max="92" width="9.140625" style="6" customWidth="1"/>
    <col min="93" max="93" width="12.57421875" style="3" bestFit="1" customWidth="1"/>
    <col min="94" max="94" width="11.00390625" style="3" bestFit="1" customWidth="1"/>
    <col min="95" max="95" width="9.140625" style="3" customWidth="1"/>
    <col min="96" max="96" width="9.140625" style="0" customWidth="1"/>
    <col min="97" max="97" width="9.140625" style="3" customWidth="1"/>
    <col min="98" max="16384" width="9.140625" style="0" customWidth="1"/>
  </cols>
  <sheetData>
    <row r="1" spans="1:97" ht="12.75">
      <c r="A1" s="10" t="s">
        <v>2</v>
      </c>
      <c r="B1" s="6" t="s">
        <v>3</v>
      </c>
      <c r="C1" s="6" t="s">
        <v>0</v>
      </c>
      <c r="D1" s="6" t="s">
        <v>1</v>
      </c>
      <c r="E1" s="6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9" t="s">
        <v>9</v>
      </c>
      <c r="K1" s="9" t="s">
        <v>10</v>
      </c>
      <c r="L1" s="6" t="s">
        <v>13</v>
      </c>
      <c r="M1" s="6" t="s">
        <v>14</v>
      </c>
      <c r="N1" s="13" t="s">
        <v>12</v>
      </c>
      <c r="O1" s="13" t="s">
        <v>11</v>
      </c>
      <c r="P1" s="13" t="s">
        <v>15</v>
      </c>
      <c r="Q1" s="6" t="s">
        <v>16</v>
      </c>
      <c r="R1" s="6" t="s">
        <v>17</v>
      </c>
      <c r="S1" s="6" t="s">
        <v>18</v>
      </c>
      <c r="U1" s="7" t="s">
        <v>19</v>
      </c>
      <c r="V1" s="7" t="s">
        <v>22</v>
      </c>
      <c r="W1" s="7" t="s">
        <v>21</v>
      </c>
      <c r="X1" s="7" t="s">
        <v>20</v>
      </c>
      <c r="Y1" s="7" t="s">
        <v>23</v>
      </c>
      <c r="Z1" s="7" t="s">
        <v>24</v>
      </c>
      <c r="AA1" s="7" t="s">
        <v>25</v>
      </c>
      <c r="AB1" s="29" t="s">
        <v>26</v>
      </c>
      <c r="AC1" s="7" t="s">
        <v>27</v>
      </c>
      <c r="AD1" s="7" t="s">
        <v>28</v>
      </c>
      <c r="AE1" s="15" t="s">
        <v>29</v>
      </c>
      <c r="AF1" s="15" t="s">
        <v>30</v>
      </c>
      <c r="AG1" s="7" t="s">
        <v>31</v>
      </c>
      <c r="AH1" s="7" t="s">
        <v>32</v>
      </c>
      <c r="AI1" s="15" t="s">
        <v>33</v>
      </c>
      <c r="AJ1" s="15" t="s">
        <v>34</v>
      </c>
      <c r="AK1" s="15" t="s">
        <v>35</v>
      </c>
      <c r="AL1" s="15" t="s">
        <v>36</v>
      </c>
      <c r="AM1" s="57" t="s">
        <v>37</v>
      </c>
      <c r="AN1" s="58" t="s">
        <v>40</v>
      </c>
      <c r="AO1" s="58" t="s">
        <v>38</v>
      </c>
      <c r="AP1" s="57" t="s">
        <v>39</v>
      </c>
      <c r="AQ1" s="1" t="s">
        <v>41</v>
      </c>
      <c r="AR1" s="38" t="s">
        <v>42</v>
      </c>
      <c r="AS1" s="39" t="s">
        <v>43</v>
      </c>
      <c r="AT1" s="38" t="s">
        <v>44</v>
      </c>
      <c r="AU1" s="39" t="s">
        <v>45</v>
      </c>
      <c r="AV1" s="1" t="s">
        <v>74</v>
      </c>
      <c r="AW1" s="6" t="s">
        <v>75</v>
      </c>
      <c r="AX1" s="6" t="s">
        <v>48</v>
      </c>
      <c r="AY1" s="6" t="s">
        <v>49</v>
      </c>
      <c r="AZ1" s="72" t="s">
        <v>184</v>
      </c>
      <c r="BA1" s="67" t="s">
        <v>185</v>
      </c>
      <c r="BB1" s="15" t="s">
        <v>50</v>
      </c>
      <c r="BC1" s="7" t="s">
        <v>51</v>
      </c>
      <c r="BD1" s="7" t="s">
        <v>52</v>
      </c>
      <c r="BE1" s="7" t="s">
        <v>53</v>
      </c>
      <c r="BF1" s="7" t="s">
        <v>54</v>
      </c>
      <c r="BG1" s="7" t="s">
        <v>46</v>
      </c>
      <c r="BH1" s="7" t="s">
        <v>55</v>
      </c>
      <c r="BI1" s="7" t="s">
        <v>47</v>
      </c>
      <c r="BJ1" s="18" t="s">
        <v>56</v>
      </c>
      <c r="BK1" s="1" t="s">
        <v>57</v>
      </c>
      <c r="BL1" s="1" t="s">
        <v>58</v>
      </c>
      <c r="BM1" s="1" t="s">
        <v>60</v>
      </c>
      <c r="BN1" s="30" t="s">
        <v>59</v>
      </c>
      <c r="BO1" s="21" t="s">
        <v>62</v>
      </c>
      <c r="BP1" s="21" t="s">
        <v>64</v>
      </c>
      <c r="BQ1" s="21" t="s">
        <v>63</v>
      </c>
      <c r="BR1" s="20"/>
      <c r="BS1" s="21" t="s">
        <v>65</v>
      </c>
      <c r="BT1" s="21" t="s">
        <v>61</v>
      </c>
      <c r="BU1" s="24" t="s">
        <v>67</v>
      </c>
      <c r="BV1" s="24" t="s">
        <v>66</v>
      </c>
      <c r="BW1" s="6" t="s">
        <v>68</v>
      </c>
      <c r="BX1" s="25" t="s">
        <v>69</v>
      </c>
      <c r="BY1" s="25" t="s">
        <v>70</v>
      </c>
      <c r="BZ1" s="26" t="s">
        <v>71</v>
      </c>
      <c r="CA1" s="33" t="s">
        <v>72</v>
      </c>
      <c r="CB1" s="27" t="s">
        <v>73</v>
      </c>
      <c r="CC1" s="66" t="s">
        <v>175</v>
      </c>
      <c r="CD1" s="56" t="s">
        <v>176</v>
      </c>
      <c r="CE1" s="66" t="s">
        <v>177</v>
      </c>
      <c r="CF1" s="56" t="s">
        <v>178</v>
      </c>
      <c r="CG1" s="66" t="s">
        <v>179</v>
      </c>
      <c r="CH1" s="56" t="s">
        <v>180</v>
      </c>
      <c r="CI1" s="66" t="s">
        <v>181</v>
      </c>
      <c r="CJ1" s="56" t="s">
        <v>182</v>
      </c>
      <c r="CK1" s="66" t="s">
        <v>183</v>
      </c>
      <c r="CL1" s="7" t="s">
        <v>227</v>
      </c>
      <c r="CM1" s="7" t="s">
        <v>225</v>
      </c>
      <c r="CN1" s="7" t="s">
        <v>228</v>
      </c>
      <c r="CO1" s="7" t="s">
        <v>230</v>
      </c>
      <c r="CP1" s="7" t="s">
        <v>224</v>
      </c>
      <c r="CQ1" s="3" t="s">
        <v>231</v>
      </c>
      <c r="CR1" s="7" t="s">
        <v>232</v>
      </c>
      <c r="CS1" s="3" t="s">
        <v>233</v>
      </c>
    </row>
    <row r="2" spans="1:75" ht="12.75">
      <c r="A2" s="83">
        <v>37865</v>
      </c>
      <c r="B2" s="52">
        <v>137.5</v>
      </c>
      <c r="C2" s="52">
        <v>139</v>
      </c>
      <c r="D2" s="52">
        <v>136.5</v>
      </c>
      <c r="E2" s="52">
        <v>137.5</v>
      </c>
      <c r="F2" s="4">
        <v>1421062</v>
      </c>
      <c r="G2" s="4">
        <f aca="true" t="shared" si="0" ref="G2:G26">IF(E2&gt;B2,C2*2+D2+E2,0)</f>
        <v>0</v>
      </c>
      <c r="H2" s="4">
        <f aca="true" t="shared" si="1" ref="H2:H26">IF(E2&lt;B2,C2+D2*2+E2,0)</f>
        <v>0</v>
      </c>
      <c r="I2" s="4">
        <f aca="true" t="shared" si="2" ref="I2:I26">IF(E2=B2,C2+D2+E2*2,0)</f>
        <v>550.5</v>
      </c>
      <c r="L2" s="6">
        <f aca="true" t="shared" si="3" ref="L2:L26">C2*(1+2*((((C2-D2)/((C2+D2)/2))*1000)*0.001))</f>
        <v>144.0453720508167</v>
      </c>
      <c r="M2" s="6">
        <f aca="true" t="shared" si="4" ref="M2:M26">D2*(1-2*((((C2-D2)/((C2+D2)/2))*1000)*0.001))</f>
        <v>131.5453720508167</v>
      </c>
      <c r="Q2" s="1">
        <f aca="true" t="shared" si="5" ref="Q2:Q26">ABS(C2-D2)</f>
        <v>2.5</v>
      </c>
      <c r="U2" s="6"/>
      <c r="V2" s="3"/>
      <c r="W2" s="3"/>
      <c r="X2" s="3"/>
      <c r="Y2" s="3"/>
      <c r="Z2" s="3"/>
      <c r="AA2" s="3"/>
      <c r="AB2" s="30"/>
      <c r="AC2" s="6"/>
      <c r="AD2" s="6"/>
      <c r="AK2" s="32"/>
      <c r="AQ2" s="1">
        <f>ROUND((C2+D2+E2)/3,1)</f>
        <v>137.7</v>
      </c>
      <c r="BB2" s="41"/>
      <c r="BJ2" s="5"/>
      <c r="BK2" s="5"/>
      <c r="BL2" s="3"/>
      <c r="BM2" s="3"/>
      <c r="BO2" s="22"/>
      <c r="BP2" s="22"/>
      <c r="BQ2" s="22"/>
      <c r="BR2" s="20"/>
      <c r="BS2" s="22"/>
      <c r="BT2" s="22"/>
      <c r="BU2" s="6">
        <f>(2*E2-C2-D2)/((C2-D2))*F2</f>
        <v>-284212.4</v>
      </c>
      <c r="BV2" s="6">
        <f>(E2-B2)/((C2-D2))*F2</f>
        <v>0</v>
      </c>
      <c r="BW2" s="6">
        <v>0</v>
      </c>
    </row>
    <row r="3" spans="1:89" ht="12.75">
      <c r="A3" s="83">
        <v>37866</v>
      </c>
      <c r="B3" s="53">
        <v>138</v>
      </c>
      <c r="C3" s="53">
        <v>138</v>
      </c>
      <c r="D3" s="52">
        <v>135</v>
      </c>
      <c r="E3" s="52">
        <v>137</v>
      </c>
      <c r="F3" s="4">
        <v>4495765</v>
      </c>
      <c r="G3" s="4">
        <f t="shared" si="0"/>
        <v>0</v>
      </c>
      <c r="H3" s="4">
        <f t="shared" si="1"/>
        <v>545</v>
      </c>
      <c r="I3" s="4">
        <f t="shared" si="2"/>
        <v>0</v>
      </c>
      <c r="J3" s="9">
        <f>(G2+H2+I2)/2-D2</f>
        <v>138.75</v>
      </c>
      <c r="K3" s="9">
        <f>(G2+H2+I2)/2-C2</f>
        <v>136.25</v>
      </c>
      <c r="L3" s="6">
        <f t="shared" si="3"/>
        <v>144.06593406593407</v>
      </c>
      <c r="M3" s="6">
        <f t="shared" si="4"/>
        <v>129.06593406593407</v>
      </c>
      <c r="Q3" s="1">
        <f t="shared" si="5"/>
        <v>3</v>
      </c>
      <c r="R3" s="1">
        <f aca="true" t="shared" si="6" ref="R3:R27">ABS(C3-E2)</f>
        <v>0.5</v>
      </c>
      <c r="S3" s="1">
        <f aca="true" t="shared" si="7" ref="S3:S27">ABS(D3-E2)</f>
        <v>2.5</v>
      </c>
      <c r="T3" s="6">
        <f aca="true" t="shared" si="8" ref="T3:T27">IF(Q3&gt;R3,Q3,R3)</f>
        <v>3</v>
      </c>
      <c r="U3" s="6">
        <f aca="true" t="shared" si="9" ref="U3:U27">IF(S3&gt;T3,S3,T3)</f>
        <v>3</v>
      </c>
      <c r="V3" s="3">
        <f aca="true" t="shared" si="10" ref="V3:V27">IF(C3-C2&gt;=0,C3-C2,0)</f>
        <v>0</v>
      </c>
      <c r="W3" s="3">
        <f aca="true" t="shared" si="11" ref="W3:W27">IF(D3&lt;=D2,D2-D3,0)</f>
        <v>1.5</v>
      </c>
      <c r="X3" s="3">
        <f aca="true" t="shared" si="12" ref="X3:X27">IF(V3=W3,0,V3)</f>
        <v>0</v>
      </c>
      <c r="Y3" s="3">
        <f aca="true" t="shared" si="13" ref="Y3:Y27">IF(V3=W3,0,W3)</f>
        <v>1.5</v>
      </c>
      <c r="Z3" s="3">
        <f aca="true" t="shared" si="14" ref="Z3:Z27">IF(X3&gt;Y3,X3,0)</f>
        <v>0</v>
      </c>
      <c r="AA3" s="3">
        <f aca="true" t="shared" si="15" ref="AA3:AA27">IF(Y3&gt;X3,Y3,0)</f>
        <v>1.5</v>
      </c>
      <c r="AB3" s="30"/>
      <c r="AC3" s="6"/>
      <c r="AD3" s="6"/>
      <c r="AQ3" s="1">
        <f aca="true" t="shared" si="16" ref="AQ3:AQ50">ROUND((C3+D3+E3)/3,1)</f>
        <v>136.7</v>
      </c>
      <c r="AR3" s="38">
        <f>ROUND((2*AQ2-C2),1)</f>
        <v>136.4</v>
      </c>
      <c r="AS3" s="39">
        <f>ROUND((2*AQ2-D2),1)</f>
        <v>138.9</v>
      </c>
      <c r="AT3" s="38">
        <f>ROUND((2*AQ2+C2-2*D2),1)</f>
        <v>141.4</v>
      </c>
      <c r="AU3" s="39">
        <f>ROUND((2*AQ2+D2-2*C2),1)</f>
        <v>133.9</v>
      </c>
      <c r="AV3" s="1">
        <f>IF(C3&gt;AT3,1,0)</f>
        <v>0</v>
      </c>
      <c r="AW3" s="1">
        <f>IF(D3&lt;AU3,1,0)</f>
        <v>0</v>
      </c>
      <c r="AX3" s="1"/>
      <c r="AY3" s="1"/>
      <c r="BB3" s="41"/>
      <c r="BJ3" s="5">
        <f>IF(E3&gt;E2,E3-E2,0)</f>
        <v>0</v>
      </c>
      <c r="BK3" s="5">
        <f>IF(E3&lt;E2,E2-E3,0)</f>
        <v>0.5</v>
      </c>
      <c r="BL3" s="3"/>
      <c r="BM3" s="3"/>
      <c r="BO3" s="22"/>
      <c r="BP3" s="22"/>
      <c r="BQ3" s="22"/>
      <c r="BR3" s="20"/>
      <c r="BS3" s="22"/>
      <c r="BT3" s="22"/>
      <c r="BU3" s="6">
        <f aca="true" t="shared" si="17" ref="BU3:BU51">(2*E3-C3-D3)/((C3-D3))*F3</f>
        <v>1498588.3333333333</v>
      </c>
      <c r="BV3" s="6">
        <f aca="true" t="shared" si="18" ref="BV3:BV51">(E3-B3)/((C3-D3))*F3</f>
        <v>-1498588.3333333333</v>
      </c>
      <c r="BW3" s="6">
        <f>(IF(E3&gt;=E2,BW2+F3,BW2-F3))/(1000000)</f>
        <v>-4.495765</v>
      </c>
      <c r="CC3" s="66">
        <f>(C2+D2+E2)/3</f>
        <v>137.66666666666666</v>
      </c>
      <c r="CD3" s="56">
        <f>CC3*2-C2</f>
        <v>136.33333333333331</v>
      </c>
      <c r="CE3" s="66">
        <f>CC3*2-D2</f>
        <v>138.83333333333331</v>
      </c>
      <c r="CF3" s="56">
        <f>CC3+CD3-CE3</f>
        <v>135.16666666666669</v>
      </c>
      <c r="CG3" s="66">
        <f>CC3-CD3+CE3</f>
        <v>140.16666666666666</v>
      </c>
      <c r="CH3" s="56">
        <f>CC3+CD3-CG3</f>
        <v>133.83333333333334</v>
      </c>
      <c r="CI3" s="66">
        <f>CC3-CD3+CG3</f>
        <v>141.5</v>
      </c>
      <c r="CJ3" s="56">
        <f>CC3-CG3+CF3</f>
        <v>132.66666666666669</v>
      </c>
      <c r="CK3" s="66">
        <f>CC3+CG3-CF3</f>
        <v>142.66666666666663</v>
      </c>
    </row>
    <row r="4" spans="1:89" ht="12.75">
      <c r="A4" s="83">
        <v>37867</v>
      </c>
      <c r="B4" s="53">
        <v>139.5</v>
      </c>
      <c r="C4" s="52">
        <v>142</v>
      </c>
      <c r="D4" s="53">
        <v>139</v>
      </c>
      <c r="E4" s="52">
        <v>140.5</v>
      </c>
      <c r="F4" s="4">
        <v>3726530</v>
      </c>
      <c r="G4" s="4">
        <f t="shared" si="0"/>
        <v>563.5</v>
      </c>
      <c r="H4" s="4">
        <f t="shared" si="1"/>
        <v>0</v>
      </c>
      <c r="I4" s="4">
        <f t="shared" si="2"/>
        <v>0</v>
      </c>
      <c r="J4" s="9">
        <f aca="true" t="shared" si="19" ref="J4:J50">(G3+H3+I3)/2-D3</f>
        <v>137.5</v>
      </c>
      <c r="K4" s="9">
        <f aca="true" t="shared" si="20" ref="K4:K50">(G3+H3+I3)/2-C3</f>
        <v>134.5</v>
      </c>
      <c r="L4" s="6">
        <f t="shared" si="3"/>
        <v>148.0640569395018</v>
      </c>
      <c r="M4" s="6">
        <f t="shared" si="4"/>
        <v>133.0640569395018</v>
      </c>
      <c r="Q4" s="1">
        <f t="shared" si="5"/>
        <v>3</v>
      </c>
      <c r="R4" s="1">
        <f t="shared" si="6"/>
        <v>5</v>
      </c>
      <c r="S4" s="1">
        <f t="shared" si="7"/>
        <v>2</v>
      </c>
      <c r="T4" s="6">
        <f t="shared" si="8"/>
        <v>5</v>
      </c>
      <c r="U4" s="6">
        <f t="shared" si="9"/>
        <v>5</v>
      </c>
      <c r="V4" s="3">
        <f t="shared" si="10"/>
        <v>4</v>
      </c>
      <c r="W4" s="3">
        <f t="shared" si="11"/>
        <v>0</v>
      </c>
      <c r="X4" s="3">
        <f t="shared" si="12"/>
        <v>4</v>
      </c>
      <c r="Y4" s="3">
        <f t="shared" si="13"/>
        <v>0</v>
      </c>
      <c r="Z4" s="3">
        <f t="shared" si="14"/>
        <v>4</v>
      </c>
      <c r="AA4" s="3">
        <f t="shared" si="15"/>
        <v>0</v>
      </c>
      <c r="AB4" s="30"/>
      <c r="AC4" s="6"/>
      <c r="AD4" s="14"/>
      <c r="AQ4" s="1">
        <f t="shared" si="16"/>
        <v>140.5</v>
      </c>
      <c r="AR4" s="38">
        <f aca="true" t="shared" si="21" ref="AR4:AR50">ROUND((2*AQ3-C3),1)</f>
        <v>135.4</v>
      </c>
      <c r="AS4" s="39">
        <f aca="true" t="shared" si="22" ref="AS4:AS50">ROUND((2*AQ3-D3),1)</f>
        <v>138.4</v>
      </c>
      <c r="AT4" s="38">
        <f aca="true" t="shared" si="23" ref="AT4:AT50">ROUND((2*AQ3+C3-2*D3),1)</f>
        <v>141.4</v>
      </c>
      <c r="AU4" s="39">
        <f aca="true" t="shared" si="24" ref="AU4:AU50">ROUND((2*AQ3+D3-2*C3),1)</f>
        <v>132.4</v>
      </c>
      <c r="AV4" s="1">
        <f aca="true" t="shared" si="25" ref="AV4:AV52">IF(C4&gt;AT4,1,0)</f>
        <v>1</v>
      </c>
      <c r="AW4" s="1">
        <f aca="true" t="shared" si="26" ref="AW4:AW52">IF(D4&lt;AU4,1,0)</f>
        <v>0</v>
      </c>
      <c r="AX4" s="1">
        <f aca="true" t="shared" si="27" ref="AX4:AX46">MIN(D2,D3)</f>
        <v>135</v>
      </c>
      <c r="AY4" s="1">
        <f>MAX(C2,C3)</f>
        <v>139</v>
      </c>
      <c r="BB4" s="41"/>
      <c r="BJ4" s="5">
        <f aca="true" t="shared" si="28" ref="BJ4:BJ51">IF(E4&gt;E3,E4-E3,0)</f>
        <v>3.5</v>
      </c>
      <c r="BK4" s="5">
        <f aca="true" t="shared" si="29" ref="BK4:BK51">IF(E4&lt;E3,E3-E4,0)</f>
        <v>0</v>
      </c>
      <c r="BL4" s="11"/>
      <c r="BM4" s="3"/>
      <c r="BO4" s="22"/>
      <c r="BP4" s="22"/>
      <c r="BQ4" s="22"/>
      <c r="BR4" s="20"/>
      <c r="BS4" s="22"/>
      <c r="BT4" s="22"/>
      <c r="BU4" s="6">
        <f t="shared" si="17"/>
        <v>0</v>
      </c>
      <c r="BV4" s="6">
        <f t="shared" si="18"/>
        <v>1242176.6666666665</v>
      </c>
      <c r="BW4" s="6">
        <f aca="true" t="shared" si="30" ref="BW4:BW51">(IF(E4&gt;=E3,BW3+F4,BW3-F4))/(1000000)</f>
        <v>3.726525504235</v>
      </c>
      <c r="CC4" s="66">
        <f aca="true" t="shared" si="31" ref="CC4:CC54">(C3+D3+E3)/3</f>
        <v>136.66666666666666</v>
      </c>
      <c r="CD4" s="56">
        <f aca="true" t="shared" si="32" ref="CD4:CD54">CC4*2-C3</f>
        <v>135.33333333333331</v>
      </c>
      <c r="CE4" s="66">
        <f aca="true" t="shared" si="33" ref="CE4:CE54">CC4*2-D3</f>
        <v>138.33333333333331</v>
      </c>
      <c r="CF4" s="56">
        <f aca="true" t="shared" si="34" ref="CF4:CF54">CC4+CD4-CE4</f>
        <v>133.66666666666669</v>
      </c>
      <c r="CG4" s="66">
        <f aca="true" t="shared" si="35" ref="CG4:CG54">CC4-CD4+CE4</f>
        <v>139.66666666666666</v>
      </c>
      <c r="CH4" s="56">
        <f aca="true" t="shared" si="36" ref="CH4:CH54">CC4+CD4-CG4</f>
        <v>132.33333333333334</v>
      </c>
      <c r="CI4" s="66">
        <f aca="true" t="shared" si="37" ref="CI4:CI54">CC4-CD4+CG4</f>
        <v>141</v>
      </c>
      <c r="CJ4" s="56">
        <f aca="true" t="shared" si="38" ref="CJ4:CJ54">CC4-CG4+CF4</f>
        <v>130.66666666666669</v>
      </c>
      <c r="CK4" s="66">
        <f aca="true" t="shared" si="39" ref="CK4:CK54">CC4+CG4-CF4</f>
        <v>142.66666666666663</v>
      </c>
    </row>
    <row r="5" spans="1:89" ht="12.75">
      <c r="A5" s="83">
        <v>37868</v>
      </c>
      <c r="B5" s="53">
        <v>139.5</v>
      </c>
      <c r="C5" s="52">
        <v>141.5</v>
      </c>
      <c r="D5" s="53">
        <v>139</v>
      </c>
      <c r="E5" s="52">
        <v>139.5</v>
      </c>
      <c r="F5" s="4">
        <v>2671588</v>
      </c>
      <c r="G5" s="4">
        <f t="shared" si="0"/>
        <v>0</v>
      </c>
      <c r="H5" s="4">
        <f t="shared" si="1"/>
        <v>0</v>
      </c>
      <c r="I5" s="4">
        <f t="shared" si="2"/>
        <v>559.5</v>
      </c>
      <c r="J5" s="9">
        <f t="shared" si="19"/>
        <v>142.75</v>
      </c>
      <c r="K5" s="9">
        <f t="shared" si="20"/>
        <v>139.75</v>
      </c>
      <c r="L5" s="6">
        <f t="shared" si="3"/>
        <v>146.54456327985739</v>
      </c>
      <c r="M5" s="6">
        <f t="shared" si="4"/>
        <v>134.04456327985739</v>
      </c>
      <c r="Q5" s="1">
        <f t="shared" si="5"/>
        <v>2.5</v>
      </c>
      <c r="R5" s="1">
        <f t="shared" si="6"/>
        <v>1</v>
      </c>
      <c r="S5" s="1">
        <f t="shared" si="7"/>
        <v>1.5</v>
      </c>
      <c r="T5" s="6">
        <f t="shared" si="8"/>
        <v>2.5</v>
      </c>
      <c r="U5" s="6">
        <f t="shared" si="9"/>
        <v>2.5</v>
      </c>
      <c r="V5" s="3">
        <f t="shared" si="10"/>
        <v>0</v>
      </c>
      <c r="W5" s="3">
        <f t="shared" si="11"/>
        <v>0</v>
      </c>
      <c r="X5" s="3">
        <f t="shared" si="12"/>
        <v>0</v>
      </c>
      <c r="Y5" s="3">
        <f t="shared" si="13"/>
        <v>0</v>
      </c>
      <c r="Z5" s="3">
        <f t="shared" si="14"/>
        <v>0</v>
      </c>
      <c r="AA5" s="3">
        <f t="shared" si="15"/>
        <v>0</v>
      </c>
      <c r="AB5" s="30"/>
      <c r="AC5" s="6"/>
      <c r="AD5" s="6"/>
      <c r="AQ5" s="1">
        <f t="shared" si="16"/>
        <v>140</v>
      </c>
      <c r="AR5" s="38">
        <f t="shared" si="21"/>
        <v>139</v>
      </c>
      <c r="AS5" s="39">
        <f t="shared" si="22"/>
        <v>142</v>
      </c>
      <c r="AT5" s="38">
        <f t="shared" si="23"/>
        <v>145</v>
      </c>
      <c r="AU5" s="39">
        <f t="shared" si="24"/>
        <v>136</v>
      </c>
      <c r="AV5" s="1">
        <f t="shared" si="25"/>
        <v>0</v>
      </c>
      <c r="AW5" s="1">
        <f t="shared" si="26"/>
        <v>0</v>
      </c>
      <c r="AX5" s="1">
        <f t="shared" si="27"/>
        <v>135</v>
      </c>
      <c r="AY5" s="1">
        <f aca="true" t="shared" si="40" ref="AY5:AY50">MAX(C3,C4)</f>
        <v>142</v>
      </c>
      <c r="BB5" s="41"/>
      <c r="BJ5" s="5">
        <f t="shared" si="28"/>
        <v>0</v>
      </c>
      <c r="BK5" s="5">
        <f t="shared" si="29"/>
        <v>1</v>
      </c>
      <c r="BL5" s="11"/>
      <c r="BM5" s="3"/>
      <c r="BO5" s="22"/>
      <c r="BP5" s="22"/>
      <c r="BQ5" s="22"/>
      <c r="BR5" s="20"/>
      <c r="BS5" s="22"/>
      <c r="BT5" s="22"/>
      <c r="BU5" s="6">
        <f t="shared" si="17"/>
        <v>-1602952.8</v>
      </c>
      <c r="BV5" s="6">
        <f t="shared" si="18"/>
        <v>0</v>
      </c>
      <c r="BW5" s="6">
        <f t="shared" si="30"/>
        <v>-2.6715842734744957</v>
      </c>
      <c r="CC5" s="66">
        <f t="shared" si="31"/>
        <v>140.5</v>
      </c>
      <c r="CD5" s="56">
        <f t="shared" si="32"/>
        <v>139</v>
      </c>
      <c r="CE5" s="66">
        <f t="shared" si="33"/>
        <v>142</v>
      </c>
      <c r="CF5" s="56">
        <f t="shared" si="34"/>
        <v>137.5</v>
      </c>
      <c r="CG5" s="66">
        <f t="shared" si="35"/>
        <v>143.5</v>
      </c>
      <c r="CH5" s="56">
        <f t="shared" si="36"/>
        <v>136</v>
      </c>
      <c r="CI5" s="66">
        <f t="shared" si="37"/>
        <v>145</v>
      </c>
      <c r="CJ5" s="56">
        <f t="shared" si="38"/>
        <v>134.5</v>
      </c>
      <c r="CK5" s="66">
        <f t="shared" si="39"/>
        <v>146.5</v>
      </c>
    </row>
    <row r="6" spans="1:89" ht="12.75">
      <c r="A6" s="83">
        <v>37869</v>
      </c>
      <c r="B6" s="53">
        <v>139.5</v>
      </c>
      <c r="C6" s="53">
        <v>139.5</v>
      </c>
      <c r="D6" s="52">
        <v>135</v>
      </c>
      <c r="E6" s="52">
        <v>137.5</v>
      </c>
      <c r="F6" s="4">
        <v>3666461</v>
      </c>
      <c r="G6" s="4">
        <f t="shared" si="0"/>
        <v>0</v>
      </c>
      <c r="H6" s="4">
        <f t="shared" si="1"/>
        <v>547</v>
      </c>
      <c r="I6" s="4">
        <f t="shared" si="2"/>
        <v>0</v>
      </c>
      <c r="J6" s="9">
        <f t="shared" si="19"/>
        <v>140.75</v>
      </c>
      <c r="K6" s="9">
        <f t="shared" si="20"/>
        <v>138.25</v>
      </c>
      <c r="L6" s="6">
        <f t="shared" si="3"/>
        <v>148.64754098360658</v>
      </c>
      <c r="M6" s="6">
        <f t="shared" si="4"/>
        <v>126.14754098360656</v>
      </c>
      <c r="Q6" s="1">
        <f t="shared" si="5"/>
        <v>4.5</v>
      </c>
      <c r="R6" s="1">
        <f t="shared" si="6"/>
        <v>0</v>
      </c>
      <c r="S6" s="1">
        <f t="shared" si="7"/>
        <v>4.5</v>
      </c>
      <c r="T6" s="6">
        <f t="shared" si="8"/>
        <v>4.5</v>
      </c>
      <c r="U6" s="6">
        <f t="shared" si="9"/>
        <v>4.5</v>
      </c>
      <c r="V6" s="3">
        <f t="shared" si="10"/>
        <v>0</v>
      </c>
      <c r="W6" s="3">
        <f t="shared" si="11"/>
        <v>4</v>
      </c>
      <c r="X6" s="3">
        <f t="shared" si="12"/>
        <v>0</v>
      </c>
      <c r="Y6" s="3">
        <f t="shared" si="13"/>
        <v>4</v>
      </c>
      <c r="Z6" s="3">
        <f t="shared" si="14"/>
        <v>0</v>
      </c>
      <c r="AA6" s="3">
        <f t="shared" si="15"/>
        <v>4</v>
      </c>
      <c r="AB6" s="30"/>
      <c r="AC6" s="6"/>
      <c r="AD6" s="6"/>
      <c r="AQ6" s="1">
        <f t="shared" si="16"/>
        <v>137.3</v>
      </c>
      <c r="AR6" s="38">
        <f t="shared" si="21"/>
        <v>138.5</v>
      </c>
      <c r="AS6" s="39">
        <f t="shared" si="22"/>
        <v>141</v>
      </c>
      <c r="AT6" s="38">
        <f t="shared" si="23"/>
        <v>143.5</v>
      </c>
      <c r="AU6" s="39">
        <f t="shared" si="24"/>
        <v>136</v>
      </c>
      <c r="AV6" s="1">
        <f t="shared" si="25"/>
        <v>0</v>
      </c>
      <c r="AW6" s="1">
        <f t="shared" si="26"/>
        <v>1</v>
      </c>
      <c r="AX6" s="1">
        <f t="shared" si="27"/>
        <v>139</v>
      </c>
      <c r="AY6" s="1">
        <f t="shared" si="40"/>
        <v>142</v>
      </c>
      <c r="BB6" s="41"/>
      <c r="BJ6" s="5">
        <f t="shared" si="28"/>
        <v>0</v>
      </c>
      <c r="BK6" s="5">
        <f t="shared" si="29"/>
        <v>2</v>
      </c>
      <c r="BL6" s="3"/>
      <c r="BM6" s="3"/>
      <c r="BO6" s="22"/>
      <c r="BP6" s="22"/>
      <c r="BQ6" s="22"/>
      <c r="BR6" s="20"/>
      <c r="BS6" s="22"/>
      <c r="BT6" s="22"/>
      <c r="BU6" s="6">
        <f t="shared" si="17"/>
        <v>407384.55555555556</v>
      </c>
      <c r="BV6" s="6">
        <f t="shared" si="18"/>
        <v>-1629538.2222222222</v>
      </c>
      <c r="BW6" s="6">
        <f t="shared" si="30"/>
        <v>-3.6664636715842738</v>
      </c>
      <c r="CC6" s="66">
        <f t="shared" si="31"/>
        <v>140</v>
      </c>
      <c r="CD6" s="56">
        <f t="shared" si="32"/>
        <v>138.5</v>
      </c>
      <c r="CE6" s="66">
        <f t="shared" si="33"/>
        <v>141</v>
      </c>
      <c r="CF6" s="56">
        <f t="shared" si="34"/>
        <v>137.5</v>
      </c>
      <c r="CG6" s="66">
        <f t="shared" si="35"/>
        <v>142.5</v>
      </c>
      <c r="CH6" s="56">
        <f t="shared" si="36"/>
        <v>136</v>
      </c>
      <c r="CI6" s="66">
        <f t="shared" si="37"/>
        <v>144</v>
      </c>
      <c r="CJ6" s="56">
        <f t="shared" si="38"/>
        <v>135</v>
      </c>
      <c r="CK6" s="66">
        <f t="shared" si="39"/>
        <v>145</v>
      </c>
    </row>
    <row r="7" spans="1:89" ht="12.75">
      <c r="A7" s="83">
        <v>37872</v>
      </c>
      <c r="B7" s="53">
        <v>134</v>
      </c>
      <c r="C7" s="52">
        <v>139</v>
      </c>
      <c r="D7" s="53">
        <v>134</v>
      </c>
      <c r="E7" s="52">
        <v>139</v>
      </c>
      <c r="F7" s="4">
        <v>3727741</v>
      </c>
      <c r="G7" s="4">
        <f t="shared" si="0"/>
        <v>551</v>
      </c>
      <c r="H7" s="4">
        <f t="shared" si="1"/>
        <v>0</v>
      </c>
      <c r="I7" s="4">
        <f t="shared" si="2"/>
        <v>0</v>
      </c>
      <c r="J7" s="9">
        <f t="shared" si="19"/>
        <v>138.5</v>
      </c>
      <c r="K7" s="9">
        <f t="shared" si="20"/>
        <v>134</v>
      </c>
      <c r="L7" s="6">
        <f t="shared" si="3"/>
        <v>149.1831501831502</v>
      </c>
      <c r="M7" s="6">
        <f t="shared" si="4"/>
        <v>124.18315018315019</v>
      </c>
      <c r="Q7" s="1">
        <f t="shared" si="5"/>
        <v>5</v>
      </c>
      <c r="R7" s="1">
        <f t="shared" si="6"/>
        <v>1.5</v>
      </c>
      <c r="S7" s="1">
        <f t="shared" si="7"/>
        <v>3.5</v>
      </c>
      <c r="T7" s="6">
        <f t="shared" si="8"/>
        <v>5</v>
      </c>
      <c r="U7" s="6">
        <f t="shared" si="9"/>
        <v>5</v>
      </c>
      <c r="V7" s="3">
        <f t="shared" si="10"/>
        <v>0</v>
      </c>
      <c r="W7" s="3">
        <f t="shared" si="11"/>
        <v>1</v>
      </c>
      <c r="X7" s="3">
        <f t="shared" si="12"/>
        <v>0</v>
      </c>
      <c r="Y7" s="3">
        <f t="shared" si="13"/>
        <v>1</v>
      </c>
      <c r="Z7" s="3">
        <f t="shared" si="14"/>
        <v>0</v>
      </c>
      <c r="AA7" s="3">
        <f t="shared" si="15"/>
        <v>1</v>
      </c>
      <c r="AB7" s="30"/>
      <c r="AC7" s="6"/>
      <c r="AD7" s="6"/>
      <c r="AQ7" s="1">
        <f t="shared" si="16"/>
        <v>137.3</v>
      </c>
      <c r="AR7" s="38">
        <f t="shared" si="21"/>
        <v>135.1</v>
      </c>
      <c r="AS7" s="39">
        <f t="shared" si="22"/>
        <v>139.6</v>
      </c>
      <c r="AT7" s="38">
        <f t="shared" si="23"/>
        <v>144.1</v>
      </c>
      <c r="AU7" s="39">
        <f t="shared" si="24"/>
        <v>130.6</v>
      </c>
      <c r="AV7" s="1">
        <f t="shared" si="25"/>
        <v>0</v>
      </c>
      <c r="AW7" s="17">
        <f t="shared" si="26"/>
        <v>0</v>
      </c>
      <c r="AX7" s="1">
        <f t="shared" si="27"/>
        <v>135</v>
      </c>
      <c r="AY7" s="1">
        <f t="shared" si="40"/>
        <v>141.5</v>
      </c>
      <c r="BB7" s="42">
        <f>MAX($C$2:C7)</f>
        <v>142</v>
      </c>
      <c r="BC7" s="3">
        <f>D7</f>
        <v>134</v>
      </c>
      <c r="BD7" s="3">
        <f>BB7-BC7</f>
        <v>8</v>
      </c>
      <c r="BE7" s="12">
        <v>0.02</v>
      </c>
      <c r="BF7" s="3">
        <f>BE7*BD7</f>
        <v>0.16</v>
      </c>
      <c r="BG7" s="12">
        <f>E7</f>
        <v>139</v>
      </c>
      <c r="BJ7" s="5">
        <f t="shared" si="28"/>
        <v>1.5</v>
      </c>
      <c r="BK7" s="5">
        <f t="shared" si="29"/>
        <v>0</v>
      </c>
      <c r="BL7" s="11"/>
      <c r="BM7" s="3"/>
      <c r="BO7" s="22"/>
      <c r="BP7" s="22"/>
      <c r="BQ7" s="22"/>
      <c r="BR7" s="20"/>
      <c r="BS7" s="22"/>
      <c r="BT7" s="22"/>
      <c r="BU7" s="6">
        <f t="shared" si="17"/>
        <v>3727741</v>
      </c>
      <c r="BV7" s="6">
        <f t="shared" si="18"/>
        <v>3727741</v>
      </c>
      <c r="BW7" s="6">
        <f t="shared" si="30"/>
        <v>3.727737333536328</v>
      </c>
      <c r="CC7" s="66">
        <f t="shared" si="31"/>
        <v>137.33333333333334</v>
      </c>
      <c r="CD7" s="56">
        <f t="shared" si="32"/>
        <v>135.16666666666669</v>
      </c>
      <c r="CE7" s="66">
        <f t="shared" si="33"/>
        <v>139.66666666666669</v>
      </c>
      <c r="CF7" s="56">
        <f t="shared" si="34"/>
        <v>132.83333333333331</v>
      </c>
      <c r="CG7" s="66">
        <f t="shared" si="35"/>
        <v>141.83333333333334</v>
      </c>
      <c r="CH7" s="56">
        <f t="shared" si="36"/>
        <v>130.66666666666666</v>
      </c>
      <c r="CI7" s="66">
        <f t="shared" si="37"/>
        <v>144</v>
      </c>
      <c r="CJ7" s="56">
        <f t="shared" si="38"/>
        <v>128.33333333333331</v>
      </c>
      <c r="CK7" s="66">
        <f t="shared" si="39"/>
        <v>146.33333333333337</v>
      </c>
    </row>
    <row r="8" spans="1:89" ht="12.75">
      <c r="A8" s="83">
        <v>37873</v>
      </c>
      <c r="B8" s="53">
        <v>141</v>
      </c>
      <c r="C8" s="53">
        <v>143</v>
      </c>
      <c r="D8" s="52">
        <v>130</v>
      </c>
      <c r="E8" s="52">
        <v>132</v>
      </c>
      <c r="F8" s="4">
        <v>12192384</v>
      </c>
      <c r="G8" s="4">
        <f t="shared" si="0"/>
        <v>0</v>
      </c>
      <c r="H8" s="4">
        <f t="shared" si="1"/>
        <v>535</v>
      </c>
      <c r="I8" s="4">
        <f t="shared" si="2"/>
        <v>0</v>
      </c>
      <c r="J8" s="9">
        <f t="shared" si="19"/>
        <v>141.5</v>
      </c>
      <c r="K8" s="9">
        <f t="shared" si="20"/>
        <v>136.5</v>
      </c>
      <c r="L8" s="6">
        <f t="shared" si="3"/>
        <v>170.23809523809524</v>
      </c>
      <c r="M8" s="6">
        <f t="shared" si="4"/>
        <v>105.23809523809524</v>
      </c>
      <c r="Q8" s="1">
        <f t="shared" si="5"/>
        <v>13</v>
      </c>
      <c r="R8" s="1">
        <f t="shared" si="6"/>
        <v>4</v>
      </c>
      <c r="S8" s="1">
        <f t="shared" si="7"/>
        <v>9</v>
      </c>
      <c r="T8" s="6">
        <f t="shared" si="8"/>
        <v>13</v>
      </c>
      <c r="U8" s="6">
        <f t="shared" si="9"/>
        <v>13</v>
      </c>
      <c r="V8" s="3">
        <f t="shared" si="10"/>
        <v>4</v>
      </c>
      <c r="W8" s="3">
        <f t="shared" si="11"/>
        <v>4</v>
      </c>
      <c r="X8" s="3">
        <f t="shared" si="12"/>
        <v>0</v>
      </c>
      <c r="Y8" s="3">
        <f t="shared" si="13"/>
        <v>0</v>
      </c>
      <c r="Z8" s="3">
        <f t="shared" si="14"/>
        <v>0</v>
      </c>
      <c r="AA8" s="3">
        <f t="shared" si="15"/>
        <v>0</v>
      </c>
      <c r="AB8" s="30"/>
      <c r="AC8" s="6"/>
      <c r="AD8" s="6"/>
      <c r="AQ8" s="1">
        <f t="shared" si="16"/>
        <v>135</v>
      </c>
      <c r="AR8" s="38">
        <f t="shared" si="21"/>
        <v>135.6</v>
      </c>
      <c r="AS8" s="39">
        <f t="shared" si="22"/>
        <v>140.6</v>
      </c>
      <c r="AT8" s="38">
        <f t="shared" si="23"/>
        <v>145.6</v>
      </c>
      <c r="AU8" s="39">
        <f t="shared" si="24"/>
        <v>130.6</v>
      </c>
      <c r="AV8" s="1">
        <f t="shared" si="25"/>
        <v>0</v>
      </c>
      <c r="AW8" s="17">
        <f t="shared" si="26"/>
        <v>1</v>
      </c>
      <c r="AX8" s="1">
        <f t="shared" si="27"/>
        <v>134</v>
      </c>
      <c r="AY8" s="1">
        <f t="shared" si="40"/>
        <v>139.5</v>
      </c>
      <c r="BB8" s="41">
        <f>IF(BB7-BF7&lt;MAX(C7,C6),MAX(C7,C6),BB7-BF7)</f>
        <v>141.84</v>
      </c>
      <c r="BC8" s="3">
        <f>MIN($D$7:D8)</f>
        <v>130</v>
      </c>
      <c r="BD8" s="3">
        <f>BB8-BC8</f>
        <v>11.840000000000003</v>
      </c>
      <c r="BE8" s="3">
        <f>MIN(IF(MIN($D$7:D8)&lt;MIN($D$7:D7),BE7+0.02,BE7),0.2)</f>
        <v>0.04</v>
      </c>
      <c r="BF8" s="3">
        <f>BE8*BD8</f>
        <v>0.47360000000000013</v>
      </c>
      <c r="BJ8" s="5">
        <f t="shared" si="28"/>
        <v>0</v>
      </c>
      <c r="BK8" s="5">
        <f t="shared" si="29"/>
        <v>7</v>
      </c>
      <c r="BL8" s="3"/>
      <c r="BM8" s="3"/>
      <c r="BO8" s="22"/>
      <c r="BP8" s="22"/>
      <c r="BQ8" s="22"/>
      <c r="BR8" s="20"/>
      <c r="BS8" s="22"/>
      <c r="BT8" s="22"/>
      <c r="BU8" s="6">
        <f t="shared" si="17"/>
        <v>-8440881.23076923</v>
      </c>
      <c r="BV8" s="6">
        <f t="shared" si="18"/>
        <v>-8440881.23076923</v>
      </c>
      <c r="BW8" s="6">
        <f t="shared" si="30"/>
        <v>-12.192380272262666</v>
      </c>
      <c r="CC8" s="66">
        <f t="shared" si="31"/>
        <v>137.33333333333334</v>
      </c>
      <c r="CD8" s="56">
        <f t="shared" si="32"/>
        <v>135.66666666666669</v>
      </c>
      <c r="CE8" s="66">
        <f t="shared" si="33"/>
        <v>140.66666666666669</v>
      </c>
      <c r="CF8" s="56">
        <f t="shared" si="34"/>
        <v>132.33333333333331</v>
      </c>
      <c r="CG8" s="66">
        <f t="shared" si="35"/>
        <v>142.33333333333334</v>
      </c>
      <c r="CH8" s="56">
        <f t="shared" si="36"/>
        <v>130.66666666666666</v>
      </c>
      <c r="CI8" s="66">
        <f t="shared" si="37"/>
        <v>144</v>
      </c>
      <c r="CJ8" s="56">
        <f t="shared" si="38"/>
        <v>127.33333333333331</v>
      </c>
      <c r="CK8" s="66">
        <f t="shared" si="39"/>
        <v>147.33333333333337</v>
      </c>
    </row>
    <row r="9" spans="1:89" ht="12.75">
      <c r="A9" s="83">
        <v>37874</v>
      </c>
      <c r="B9" s="53">
        <v>130</v>
      </c>
      <c r="C9" s="53">
        <v>130</v>
      </c>
      <c r="D9" s="52">
        <v>125</v>
      </c>
      <c r="E9" s="52">
        <v>126</v>
      </c>
      <c r="F9" s="4">
        <v>5737177</v>
      </c>
      <c r="G9" s="4">
        <f t="shared" si="0"/>
        <v>0</v>
      </c>
      <c r="H9" s="4">
        <f t="shared" si="1"/>
        <v>506</v>
      </c>
      <c r="I9" s="4">
        <f t="shared" si="2"/>
        <v>0</v>
      </c>
      <c r="J9" s="9">
        <f t="shared" si="19"/>
        <v>137.5</v>
      </c>
      <c r="K9" s="9">
        <f t="shared" si="20"/>
        <v>124.5</v>
      </c>
      <c r="L9" s="6">
        <f t="shared" si="3"/>
        <v>140.19607843137254</v>
      </c>
      <c r="M9" s="6">
        <f t="shared" si="4"/>
        <v>115.19607843137254</v>
      </c>
      <c r="Q9" s="1">
        <f t="shared" si="5"/>
        <v>5</v>
      </c>
      <c r="R9" s="1">
        <f t="shared" si="6"/>
        <v>2</v>
      </c>
      <c r="S9" s="1">
        <f t="shared" si="7"/>
        <v>7</v>
      </c>
      <c r="T9" s="6">
        <f t="shared" si="8"/>
        <v>5</v>
      </c>
      <c r="U9" s="6">
        <f t="shared" si="9"/>
        <v>7</v>
      </c>
      <c r="V9" s="3">
        <f t="shared" si="10"/>
        <v>0</v>
      </c>
      <c r="W9" s="3">
        <f t="shared" si="11"/>
        <v>5</v>
      </c>
      <c r="X9" s="3">
        <f t="shared" si="12"/>
        <v>0</v>
      </c>
      <c r="Y9" s="3">
        <f t="shared" si="13"/>
        <v>5</v>
      </c>
      <c r="Z9" s="3">
        <f t="shared" si="14"/>
        <v>0</v>
      </c>
      <c r="AA9" s="3">
        <f t="shared" si="15"/>
        <v>5</v>
      </c>
      <c r="AB9" s="30"/>
      <c r="AC9" s="6"/>
      <c r="AD9" s="6"/>
      <c r="AM9" s="59">
        <f aca="true" t="shared" si="41" ref="AM9:AM33">ROUND(3*(SUM(U3:U9)/7),0)</f>
        <v>17</v>
      </c>
      <c r="AP9" s="35" t="s">
        <v>124</v>
      </c>
      <c r="AQ9" s="1">
        <f t="shared" si="16"/>
        <v>127</v>
      </c>
      <c r="AR9" s="38">
        <f t="shared" si="21"/>
        <v>127</v>
      </c>
      <c r="AS9" s="39">
        <f t="shared" si="22"/>
        <v>140</v>
      </c>
      <c r="AT9" s="38">
        <f t="shared" si="23"/>
        <v>153</v>
      </c>
      <c r="AU9" s="39">
        <f t="shared" si="24"/>
        <v>114</v>
      </c>
      <c r="AV9" s="1">
        <f t="shared" si="25"/>
        <v>0</v>
      </c>
      <c r="AW9" s="17">
        <f t="shared" si="26"/>
        <v>0</v>
      </c>
      <c r="AX9" s="1">
        <f t="shared" si="27"/>
        <v>130</v>
      </c>
      <c r="AY9" s="1">
        <f t="shared" si="40"/>
        <v>143</v>
      </c>
      <c r="BB9" s="41">
        <f aca="true" t="shared" si="42" ref="BB9:BB22">IF(BB8-BF8&lt;MAX(C8,C7),MAX(C8,C7),BB8-BF8)</f>
        <v>143</v>
      </c>
      <c r="BC9" s="3">
        <f>MIN($D$7:D9)</f>
        <v>125</v>
      </c>
      <c r="BD9" s="3">
        <f aca="true" t="shared" si="43" ref="BD9:BD22">BB9-BC9</f>
        <v>18</v>
      </c>
      <c r="BE9" s="3">
        <f>MIN(IF(MIN($D$7:D9)&lt;MIN($D$7:D8),BE8+0.02,BE8),0.2)</f>
        <v>0.06</v>
      </c>
      <c r="BF9" s="3">
        <f aca="true" t="shared" si="44" ref="BF9:BF22">BE9*BD9</f>
        <v>1.08</v>
      </c>
      <c r="BJ9" s="5">
        <f t="shared" si="28"/>
        <v>0</v>
      </c>
      <c r="BK9" s="5">
        <f t="shared" si="29"/>
        <v>6</v>
      </c>
      <c r="BL9" s="3"/>
      <c r="BM9" s="3"/>
      <c r="BO9" s="22"/>
      <c r="BP9" s="22"/>
      <c r="BQ9" s="22"/>
      <c r="BR9" s="20"/>
      <c r="BS9" s="22"/>
      <c r="BT9" s="22"/>
      <c r="BU9" s="6">
        <f t="shared" si="17"/>
        <v>-3442306.1999999997</v>
      </c>
      <c r="BV9" s="6">
        <f t="shared" si="18"/>
        <v>-4589741.600000001</v>
      </c>
      <c r="BW9" s="6">
        <f t="shared" si="30"/>
        <v>-5.737189192380272</v>
      </c>
      <c r="CC9" s="66">
        <f t="shared" si="31"/>
        <v>135</v>
      </c>
      <c r="CD9" s="56">
        <f t="shared" si="32"/>
        <v>127</v>
      </c>
      <c r="CE9" s="66">
        <f t="shared" si="33"/>
        <v>140</v>
      </c>
      <c r="CF9" s="56">
        <f t="shared" si="34"/>
        <v>122</v>
      </c>
      <c r="CG9" s="66">
        <f t="shared" si="35"/>
        <v>148</v>
      </c>
      <c r="CH9" s="56">
        <f t="shared" si="36"/>
        <v>114</v>
      </c>
      <c r="CI9" s="66">
        <f t="shared" si="37"/>
        <v>156</v>
      </c>
      <c r="CJ9" s="56">
        <f t="shared" si="38"/>
        <v>109</v>
      </c>
      <c r="CK9" s="66">
        <f t="shared" si="39"/>
        <v>161</v>
      </c>
    </row>
    <row r="10" spans="1:89" ht="12.75">
      <c r="A10" s="83">
        <v>37875</v>
      </c>
      <c r="B10" s="52">
        <v>125</v>
      </c>
      <c r="C10" s="52">
        <v>127.5</v>
      </c>
      <c r="D10" s="52">
        <v>124</v>
      </c>
      <c r="E10" s="52">
        <v>124.5</v>
      </c>
      <c r="F10" s="4">
        <v>4156232</v>
      </c>
      <c r="G10" s="4">
        <f t="shared" si="0"/>
        <v>0</v>
      </c>
      <c r="H10" s="4">
        <f t="shared" si="1"/>
        <v>500</v>
      </c>
      <c r="I10" s="4">
        <f t="shared" si="2"/>
        <v>0</v>
      </c>
      <c r="J10" s="9">
        <f t="shared" si="19"/>
        <v>128</v>
      </c>
      <c r="K10" s="9">
        <f t="shared" si="20"/>
        <v>123</v>
      </c>
      <c r="L10" s="6">
        <f t="shared" si="3"/>
        <v>134.59741550695824</v>
      </c>
      <c r="M10" s="6">
        <f t="shared" si="4"/>
        <v>117.09741550695824</v>
      </c>
      <c r="Q10" s="1">
        <f t="shared" si="5"/>
        <v>3.5</v>
      </c>
      <c r="R10" s="1">
        <f t="shared" si="6"/>
        <v>1.5</v>
      </c>
      <c r="S10" s="1">
        <f t="shared" si="7"/>
        <v>2</v>
      </c>
      <c r="T10" s="6">
        <f t="shared" si="8"/>
        <v>3.5</v>
      </c>
      <c r="U10" s="6">
        <f t="shared" si="9"/>
        <v>3.5</v>
      </c>
      <c r="V10" s="3">
        <f t="shared" si="10"/>
        <v>0</v>
      </c>
      <c r="W10" s="3">
        <f t="shared" si="11"/>
        <v>1</v>
      </c>
      <c r="X10" s="3">
        <f t="shared" si="12"/>
        <v>0</v>
      </c>
      <c r="Y10" s="3">
        <f t="shared" si="13"/>
        <v>1</v>
      </c>
      <c r="Z10" s="3">
        <f t="shared" si="14"/>
        <v>0</v>
      </c>
      <c r="AA10" s="3">
        <f t="shared" si="15"/>
        <v>1</v>
      </c>
      <c r="AB10" s="30"/>
      <c r="AC10" s="6"/>
      <c r="AD10" s="6"/>
      <c r="AM10" s="59">
        <f t="shared" si="41"/>
        <v>17</v>
      </c>
      <c r="AN10" s="58">
        <f>MIN($E$9:E9)+AM9</f>
        <v>143</v>
      </c>
      <c r="AQ10" s="1">
        <f t="shared" si="16"/>
        <v>125.3</v>
      </c>
      <c r="AR10" s="38">
        <f t="shared" si="21"/>
        <v>124</v>
      </c>
      <c r="AS10" s="39">
        <f t="shared" si="22"/>
        <v>129</v>
      </c>
      <c r="AT10" s="38">
        <f t="shared" si="23"/>
        <v>134</v>
      </c>
      <c r="AU10" s="39">
        <f t="shared" si="24"/>
        <v>119</v>
      </c>
      <c r="AV10" s="1">
        <f t="shared" si="25"/>
        <v>0</v>
      </c>
      <c r="AW10" s="1">
        <f t="shared" si="26"/>
        <v>0</v>
      </c>
      <c r="AX10" s="1">
        <f t="shared" si="27"/>
        <v>125</v>
      </c>
      <c r="AY10" s="1">
        <f t="shared" si="40"/>
        <v>143</v>
      </c>
      <c r="BB10" s="41">
        <f t="shared" si="42"/>
        <v>143</v>
      </c>
      <c r="BC10" s="3">
        <f>MIN($D$7:D10)</f>
        <v>124</v>
      </c>
      <c r="BD10" s="3">
        <f t="shared" si="43"/>
        <v>19</v>
      </c>
      <c r="BE10" s="3">
        <f>MIN(IF(MIN($D$7:D10)&lt;MIN($D$7:D9),BE9+0.02,BE9),0.2)</f>
        <v>0.08</v>
      </c>
      <c r="BF10" s="3">
        <f t="shared" si="44"/>
        <v>1.52</v>
      </c>
      <c r="BJ10" s="5">
        <f t="shared" si="28"/>
        <v>0</v>
      </c>
      <c r="BK10" s="5">
        <f t="shared" si="29"/>
        <v>1.5</v>
      </c>
      <c r="BL10" s="3"/>
      <c r="BM10" s="3"/>
      <c r="BO10" s="22"/>
      <c r="BP10" s="22"/>
      <c r="BQ10" s="22"/>
      <c r="BR10" s="20"/>
      <c r="BS10" s="22"/>
      <c r="BT10" s="22"/>
      <c r="BU10" s="6">
        <f t="shared" si="17"/>
        <v>-2968737.1428571427</v>
      </c>
      <c r="BV10" s="6">
        <f t="shared" si="18"/>
        <v>-593747.4285714285</v>
      </c>
      <c r="BW10" s="6">
        <f t="shared" si="30"/>
        <v>-4.156237737189192</v>
      </c>
      <c r="CC10" s="66">
        <f t="shared" si="31"/>
        <v>127</v>
      </c>
      <c r="CD10" s="56">
        <f t="shared" si="32"/>
        <v>124</v>
      </c>
      <c r="CE10" s="66">
        <f t="shared" si="33"/>
        <v>129</v>
      </c>
      <c r="CF10" s="56">
        <f t="shared" si="34"/>
        <v>122</v>
      </c>
      <c r="CG10" s="66">
        <f t="shared" si="35"/>
        <v>132</v>
      </c>
      <c r="CH10" s="56">
        <f t="shared" si="36"/>
        <v>119</v>
      </c>
      <c r="CI10" s="66">
        <f t="shared" si="37"/>
        <v>135</v>
      </c>
      <c r="CJ10" s="56">
        <f t="shared" si="38"/>
        <v>117</v>
      </c>
      <c r="CK10" s="66">
        <f t="shared" si="39"/>
        <v>137</v>
      </c>
    </row>
    <row r="11" spans="1:89" ht="12.75">
      <c r="A11" s="83">
        <v>37876</v>
      </c>
      <c r="B11" s="52">
        <v>127</v>
      </c>
      <c r="C11" s="52">
        <v>129.5</v>
      </c>
      <c r="D11" s="52">
        <v>124</v>
      </c>
      <c r="E11" s="52">
        <v>125.5</v>
      </c>
      <c r="F11" s="4">
        <v>3433993</v>
      </c>
      <c r="G11" s="4">
        <f t="shared" si="0"/>
        <v>0</v>
      </c>
      <c r="H11" s="4">
        <f t="shared" si="1"/>
        <v>503</v>
      </c>
      <c r="I11" s="4">
        <f t="shared" si="2"/>
        <v>0</v>
      </c>
      <c r="J11" s="9">
        <f t="shared" si="19"/>
        <v>126</v>
      </c>
      <c r="K11" s="9">
        <f t="shared" si="20"/>
        <v>122.5</v>
      </c>
      <c r="L11" s="6">
        <f t="shared" si="3"/>
        <v>140.73865877712032</v>
      </c>
      <c r="M11" s="6">
        <f t="shared" si="4"/>
        <v>113.23865877712032</v>
      </c>
      <c r="Q11" s="1">
        <f t="shared" si="5"/>
        <v>5.5</v>
      </c>
      <c r="R11" s="1">
        <f t="shared" si="6"/>
        <v>5</v>
      </c>
      <c r="S11" s="1">
        <f t="shared" si="7"/>
        <v>0.5</v>
      </c>
      <c r="T11" s="6">
        <f t="shared" si="8"/>
        <v>5.5</v>
      </c>
      <c r="U11" s="6">
        <f t="shared" si="9"/>
        <v>5.5</v>
      </c>
      <c r="V11" s="3">
        <f t="shared" si="10"/>
        <v>2</v>
      </c>
      <c r="W11" s="3">
        <f t="shared" si="11"/>
        <v>0</v>
      </c>
      <c r="X11" s="3">
        <f t="shared" si="12"/>
        <v>2</v>
      </c>
      <c r="Y11" s="3">
        <f t="shared" si="13"/>
        <v>0</v>
      </c>
      <c r="Z11" s="3">
        <f t="shared" si="14"/>
        <v>2</v>
      </c>
      <c r="AA11" s="3">
        <f t="shared" si="15"/>
        <v>0</v>
      </c>
      <c r="AB11" s="30"/>
      <c r="AC11" s="6"/>
      <c r="AD11" s="6"/>
      <c r="AM11" s="59">
        <f t="shared" si="41"/>
        <v>18</v>
      </c>
      <c r="AN11" s="58">
        <f>MIN($E$9:E10)+AM10</f>
        <v>141.5</v>
      </c>
      <c r="AQ11" s="1">
        <f t="shared" si="16"/>
        <v>126.3</v>
      </c>
      <c r="AR11" s="38">
        <f t="shared" si="21"/>
        <v>123.1</v>
      </c>
      <c r="AS11" s="39">
        <f t="shared" si="22"/>
        <v>126.6</v>
      </c>
      <c r="AT11" s="38">
        <f t="shared" si="23"/>
        <v>130.1</v>
      </c>
      <c r="AU11" s="39">
        <f t="shared" si="24"/>
        <v>119.6</v>
      </c>
      <c r="AV11" s="1">
        <f t="shared" si="25"/>
        <v>0</v>
      </c>
      <c r="AW11" s="1">
        <f t="shared" si="26"/>
        <v>0</v>
      </c>
      <c r="AX11" s="1">
        <f t="shared" si="27"/>
        <v>124</v>
      </c>
      <c r="AY11" s="1">
        <f t="shared" si="40"/>
        <v>130</v>
      </c>
      <c r="BB11" s="41">
        <f t="shared" si="42"/>
        <v>141.48</v>
      </c>
      <c r="BC11" s="3">
        <f>MIN($D$7:D11)</f>
        <v>124</v>
      </c>
      <c r="BD11" s="3">
        <f t="shared" si="43"/>
        <v>17.47999999999999</v>
      </c>
      <c r="BE11" s="3">
        <f>MIN(IF(MIN($D$7:D11)&lt;MIN($D$7:D10),BE10+0.02,BE10),0.2)</f>
        <v>0.08</v>
      </c>
      <c r="BF11" s="3">
        <f t="shared" si="44"/>
        <v>1.3983999999999992</v>
      </c>
      <c r="BJ11" s="5">
        <f t="shared" si="28"/>
        <v>1</v>
      </c>
      <c r="BK11" s="5">
        <f t="shared" si="29"/>
        <v>0</v>
      </c>
      <c r="BL11" s="3"/>
      <c r="BM11" s="3"/>
      <c r="BO11" s="22"/>
      <c r="BP11" s="22"/>
      <c r="BQ11" s="22"/>
      <c r="BR11" s="20"/>
      <c r="BS11" s="22"/>
      <c r="BT11" s="22"/>
      <c r="BU11" s="6">
        <f t="shared" si="17"/>
        <v>-1560905.909090909</v>
      </c>
      <c r="BV11" s="6">
        <f t="shared" si="18"/>
        <v>-936543.5454545454</v>
      </c>
      <c r="BW11" s="6">
        <f t="shared" si="30"/>
        <v>3.4339888437622625</v>
      </c>
      <c r="CC11" s="66">
        <f t="shared" si="31"/>
        <v>125.33333333333333</v>
      </c>
      <c r="CD11" s="56">
        <f t="shared" si="32"/>
        <v>123.16666666666666</v>
      </c>
      <c r="CE11" s="66">
        <f t="shared" si="33"/>
        <v>126.66666666666666</v>
      </c>
      <c r="CF11" s="56">
        <f t="shared" si="34"/>
        <v>121.83333333333334</v>
      </c>
      <c r="CG11" s="66">
        <f t="shared" si="35"/>
        <v>128.83333333333331</v>
      </c>
      <c r="CH11" s="56">
        <f t="shared" si="36"/>
        <v>119.66666666666669</v>
      </c>
      <c r="CI11" s="66">
        <f t="shared" si="37"/>
        <v>131</v>
      </c>
      <c r="CJ11" s="56">
        <f t="shared" si="38"/>
        <v>118.33333333333336</v>
      </c>
      <c r="CK11" s="66">
        <f t="shared" si="39"/>
        <v>132.3333333333333</v>
      </c>
    </row>
    <row r="12" spans="1:89" ht="12.75">
      <c r="A12" s="83">
        <v>37879</v>
      </c>
      <c r="B12" s="52">
        <v>126.5</v>
      </c>
      <c r="C12" s="52">
        <v>128</v>
      </c>
      <c r="D12" s="52">
        <v>125.5</v>
      </c>
      <c r="E12" s="52">
        <v>126.5</v>
      </c>
      <c r="F12" s="4">
        <v>2541463</v>
      </c>
      <c r="G12" s="4">
        <f t="shared" si="0"/>
        <v>0</v>
      </c>
      <c r="H12" s="4">
        <f t="shared" si="1"/>
        <v>0</v>
      </c>
      <c r="I12" s="4">
        <f t="shared" si="2"/>
        <v>506.5</v>
      </c>
      <c r="J12" s="9">
        <f t="shared" si="19"/>
        <v>127.5</v>
      </c>
      <c r="K12" s="9">
        <f t="shared" si="20"/>
        <v>122</v>
      </c>
      <c r="L12" s="6">
        <f t="shared" si="3"/>
        <v>133.04930966469428</v>
      </c>
      <c r="M12" s="6">
        <f t="shared" si="4"/>
        <v>120.54930966469428</v>
      </c>
      <c r="Q12" s="1">
        <f t="shared" si="5"/>
        <v>2.5</v>
      </c>
      <c r="R12" s="1">
        <f t="shared" si="6"/>
        <v>2.5</v>
      </c>
      <c r="S12" s="1">
        <f t="shared" si="7"/>
        <v>0</v>
      </c>
      <c r="T12" s="6">
        <f t="shared" si="8"/>
        <v>2.5</v>
      </c>
      <c r="U12" s="6">
        <f t="shared" si="9"/>
        <v>2.5</v>
      </c>
      <c r="V12" s="3">
        <f t="shared" si="10"/>
        <v>0</v>
      </c>
      <c r="W12" s="3">
        <f t="shared" si="11"/>
        <v>0</v>
      </c>
      <c r="X12" s="3">
        <f t="shared" si="12"/>
        <v>0</v>
      </c>
      <c r="Y12" s="3">
        <f t="shared" si="13"/>
        <v>0</v>
      </c>
      <c r="Z12" s="3">
        <f t="shared" si="14"/>
        <v>0</v>
      </c>
      <c r="AA12" s="3">
        <f t="shared" si="15"/>
        <v>0</v>
      </c>
      <c r="AB12" s="30"/>
      <c r="AC12" s="6"/>
      <c r="AD12" s="6"/>
      <c r="AM12" s="59">
        <f t="shared" si="41"/>
        <v>18</v>
      </c>
      <c r="AN12" s="58">
        <f>MIN($E$9:E11)+AM11</f>
        <v>142.5</v>
      </c>
      <c r="AQ12" s="1">
        <f t="shared" si="16"/>
        <v>126.7</v>
      </c>
      <c r="AR12" s="38">
        <f t="shared" si="21"/>
        <v>123.1</v>
      </c>
      <c r="AS12" s="39">
        <f t="shared" si="22"/>
        <v>128.6</v>
      </c>
      <c r="AT12" s="38">
        <f t="shared" si="23"/>
        <v>134.1</v>
      </c>
      <c r="AU12" s="39">
        <f t="shared" si="24"/>
        <v>117.6</v>
      </c>
      <c r="AV12" s="1">
        <f t="shared" si="25"/>
        <v>0</v>
      </c>
      <c r="AW12" s="1">
        <f t="shared" si="26"/>
        <v>0</v>
      </c>
      <c r="AX12" s="1">
        <f t="shared" si="27"/>
        <v>124</v>
      </c>
      <c r="AY12" s="1">
        <f t="shared" si="40"/>
        <v>129.5</v>
      </c>
      <c r="BB12" s="41">
        <f t="shared" si="42"/>
        <v>140.08159999999998</v>
      </c>
      <c r="BC12" s="3">
        <f>MIN($D$7:D12)</f>
        <v>124</v>
      </c>
      <c r="BD12" s="3">
        <f t="shared" si="43"/>
        <v>16.08159999999998</v>
      </c>
      <c r="BE12" s="3">
        <f>MIN(IF(MIN($D$7:D12)&lt;MIN($D$7:D11),BE11+0.02,BE11),0.2)</f>
        <v>0.08</v>
      </c>
      <c r="BF12" s="3">
        <f t="shared" si="44"/>
        <v>1.2865279999999986</v>
      </c>
      <c r="BJ12" s="5">
        <f t="shared" si="28"/>
        <v>1</v>
      </c>
      <c r="BK12" s="5">
        <f t="shared" si="29"/>
        <v>0</v>
      </c>
      <c r="BL12" s="3"/>
      <c r="BM12" s="3"/>
      <c r="BO12" s="22"/>
      <c r="BP12" s="22"/>
      <c r="BQ12" s="22"/>
      <c r="BR12" s="20"/>
      <c r="BS12" s="22"/>
      <c r="BT12" s="22"/>
      <c r="BU12" s="6">
        <f t="shared" si="17"/>
        <v>-508292.60000000003</v>
      </c>
      <c r="BV12" s="6">
        <f t="shared" si="18"/>
        <v>0</v>
      </c>
      <c r="BW12" s="6">
        <f t="shared" si="30"/>
        <v>2.5414664339888438</v>
      </c>
      <c r="CC12" s="66">
        <f t="shared" si="31"/>
        <v>126.33333333333333</v>
      </c>
      <c r="CD12" s="56">
        <f t="shared" si="32"/>
        <v>123.16666666666666</v>
      </c>
      <c r="CE12" s="66">
        <f t="shared" si="33"/>
        <v>128.66666666666666</v>
      </c>
      <c r="CF12" s="56">
        <f t="shared" si="34"/>
        <v>120.83333333333334</v>
      </c>
      <c r="CG12" s="66">
        <f t="shared" si="35"/>
        <v>131.83333333333331</v>
      </c>
      <c r="CH12" s="56">
        <f t="shared" si="36"/>
        <v>117.66666666666669</v>
      </c>
      <c r="CI12" s="66">
        <f t="shared" si="37"/>
        <v>135</v>
      </c>
      <c r="CJ12" s="56">
        <f t="shared" si="38"/>
        <v>115.33333333333336</v>
      </c>
      <c r="CK12" s="66">
        <f t="shared" si="39"/>
        <v>137.3333333333333</v>
      </c>
    </row>
    <row r="13" spans="1:89" ht="12.75">
      <c r="A13" s="83">
        <v>37880</v>
      </c>
      <c r="B13" s="53">
        <v>125</v>
      </c>
      <c r="C13" s="52">
        <v>127.5</v>
      </c>
      <c r="D13" s="53">
        <v>124.5</v>
      </c>
      <c r="E13" s="52">
        <v>127</v>
      </c>
      <c r="F13" s="4">
        <v>2389904</v>
      </c>
      <c r="G13" s="4">
        <f t="shared" si="0"/>
        <v>506.5</v>
      </c>
      <c r="H13" s="4">
        <f t="shared" si="1"/>
        <v>0</v>
      </c>
      <c r="I13" s="4">
        <f t="shared" si="2"/>
        <v>0</v>
      </c>
      <c r="J13" s="9">
        <f t="shared" si="19"/>
        <v>127.75</v>
      </c>
      <c r="K13" s="9">
        <f t="shared" si="20"/>
        <v>125.25</v>
      </c>
      <c r="L13" s="6">
        <f t="shared" si="3"/>
        <v>133.57142857142858</v>
      </c>
      <c r="M13" s="6">
        <f t="shared" si="4"/>
        <v>118.57142857142857</v>
      </c>
      <c r="Q13" s="1">
        <f t="shared" si="5"/>
        <v>3</v>
      </c>
      <c r="R13" s="1">
        <f t="shared" si="6"/>
        <v>1</v>
      </c>
      <c r="S13" s="1">
        <f t="shared" si="7"/>
        <v>2</v>
      </c>
      <c r="T13" s="6">
        <f t="shared" si="8"/>
        <v>3</v>
      </c>
      <c r="U13" s="6">
        <f t="shared" si="9"/>
        <v>3</v>
      </c>
      <c r="V13" s="3">
        <f t="shared" si="10"/>
        <v>0</v>
      </c>
      <c r="W13" s="3">
        <f t="shared" si="11"/>
        <v>1</v>
      </c>
      <c r="X13" s="3">
        <f t="shared" si="12"/>
        <v>0</v>
      </c>
      <c r="Y13" s="3">
        <f t="shared" si="13"/>
        <v>1</v>
      </c>
      <c r="Z13" s="3">
        <f t="shared" si="14"/>
        <v>0</v>
      </c>
      <c r="AA13" s="3">
        <f t="shared" si="15"/>
        <v>1</v>
      </c>
      <c r="AB13" s="30"/>
      <c r="AC13" s="6"/>
      <c r="AD13" s="6"/>
      <c r="AM13" s="59">
        <f t="shared" si="41"/>
        <v>17</v>
      </c>
      <c r="AN13" s="58">
        <f>MIN($E$9:E12)+AM12</f>
        <v>142.5</v>
      </c>
      <c r="AQ13" s="1">
        <f t="shared" si="16"/>
        <v>126.3</v>
      </c>
      <c r="AR13" s="38">
        <f t="shared" si="21"/>
        <v>125.4</v>
      </c>
      <c r="AS13" s="39">
        <f t="shared" si="22"/>
        <v>127.9</v>
      </c>
      <c r="AT13" s="38">
        <f t="shared" si="23"/>
        <v>130.4</v>
      </c>
      <c r="AU13" s="39">
        <f t="shared" si="24"/>
        <v>122.9</v>
      </c>
      <c r="AV13" s="1">
        <f t="shared" si="25"/>
        <v>0</v>
      </c>
      <c r="AW13" s="1">
        <f t="shared" si="26"/>
        <v>0</v>
      </c>
      <c r="AX13" s="1">
        <f t="shared" si="27"/>
        <v>124</v>
      </c>
      <c r="AY13" s="1">
        <f t="shared" si="40"/>
        <v>129.5</v>
      </c>
      <c r="BB13" s="41">
        <f t="shared" si="42"/>
        <v>138.79507199999998</v>
      </c>
      <c r="BC13" s="3">
        <f>MIN($D$7:D13)</f>
        <v>124</v>
      </c>
      <c r="BD13" s="3">
        <f t="shared" si="43"/>
        <v>14.795071999999976</v>
      </c>
      <c r="BE13" s="3">
        <f>MIN(IF(MIN($D$7:D13)&lt;MIN($D$7:D12),BE12+0.02,BE12),0.2)</f>
        <v>0.08</v>
      </c>
      <c r="BF13" s="3">
        <f t="shared" si="44"/>
        <v>1.183605759999998</v>
      </c>
      <c r="BJ13" s="5">
        <f t="shared" si="28"/>
        <v>0.5</v>
      </c>
      <c r="BK13" s="5">
        <f t="shared" si="29"/>
        <v>0</v>
      </c>
      <c r="BL13" s="11"/>
      <c r="BM13" s="3"/>
      <c r="BO13" s="22"/>
      <c r="BP13" s="22"/>
      <c r="BQ13" s="22"/>
      <c r="BR13" s="20"/>
      <c r="BS13" s="22"/>
      <c r="BT13" s="22"/>
      <c r="BU13" s="6">
        <f t="shared" si="17"/>
        <v>1593269.3333333333</v>
      </c>
      <c r="BV13" s="6">
        <f t="shared" si="18"/>
        <v>1593269.3333333333</v>
      </c>
      <c r="BW13" s="6">
        <f t="shared" si="30"/>
        <v>2.389906541466434</v>
      </c>
      <c r="CC13" s="66">
        <f t="shared" si="31"/>
        <v>126.66666666666667</v>
      </c>
      <c r="CD13" s="56">
        <f t="shared" si="32"/>
        <v>125.33333333333334</v>
      </c>
      <c r="CE13" s="66">
        <f t="shared" si="33"/>
        <v>127.83333333333334</v>
      </c>
      <c r="CF13" s="56">
        <f t="shared" si="34"/>
        <v>124.16666666666666</v>
      </c>
      <c r="CG13" s="66">
        <f t="shared" si="35"/>
        <v>129.16666666666669</v>
      </c>
      <c r="CH13" s="56">
        <f t="shared" si="36"/>
        <v>122.83333333333331</v>
      </c>
      <c r="CI13" s="66">
        <f t="shared" si="37"/>
        <v>130.5</v>
      </c>
      <c r="CJ13" s="56">
        <f t="shared" si="38"/>
        <v>121.66666666666664</v>
      </c>
      <c r="CK13" s="66">
        <f t="shared" si="39"/>
        <v>131.6666666666667</v>
      </c>
    </row>
    <row r="14" spans="1:89" ht="12.75">
      <c r="A14" s="83">
        <v>37881</v>
      </c>
      <c r="B14" s="53">
        <v>128.5</v>
      </c>
      <c r="C14" s="53">
        <v>129.5</v>
      </c>
      <c r="D14" s="52">
        <v>125</v>
      </c>
      <c r="E14" s="52">
        <v>125.5</v>
      </c>
      <c r="F14" s="4">
        <v>2819586</v>
      </c>
      <c r="G14" s="4">
        <f t="shared" si="0"/>
        <v>0</v>
      </c>
      <c r="H14" s="4">
        <f t="shared" si="1"/>
        <v>505</v>
      </c>
      <c r="I14" s="4">
        <f t="shared" si="2"/>
        <v>0</v>
      </c>
      <c r="J14" s="9">
        <f t="shared" si="19"/>
        <v>128.75</v>
      </c>
      <c r="K14" s="9">
        <f t="shared" si="20"/>
        <v>125.75</v>
      </c>
      <c r="L14" s="6">
        <f t="shared" si="3"/>
        <v>138.65913555992142</v>
      </c>
      <c r="M14" s="6">
        <f t="shared" si="4"/>
        <v>116.15913555992141</v>
      </c>
      <c r="Q14" s="1">
        <f t="shared" si="5"/>
        <v>4.5</v>
      </c>
      <c r="R14" s="1">
        <f t="shared" si="6"/>
        <v>2.5</v>
      </c>
      <c r="S14" s="1">
        <f t="shared" si="7"/>
        <v>2</v>
      </c>
      <c r="T14" s="6">
        <f t="shared" si="8"/>
        <v>4.5</v>
      </c>
      <c r="U14" s="6">
        <f t="shared" si="9"/>
        <v>4.5</v>
      </c>
      <c r="V14" s="3">
        <f t="shared" si="10"/>
        <v>2</v>
      </c>
      <c r="W14" s="3">
        <f t="shared" si="11"/>
        <v>0</v>
      </c>
      <c r="X14" s="3">
        <f t="shared" si="12"/>
        <v>2</v>
      </c>
      <c r="Y14" s="3">
        <f t="shared" si="13"/>
        <v>0</v>
      </c>
      <c r="Z14" s="3">
        <f t="shared" si="14"/>
        <v>2</v>
      </c>
      <c r="AA14" s="3">
        <f t="shared" si="15"/>
        <v>0</v>
      </c>
      <c r="AB14" s="30"/>
      <c r="AC14" s="6"/>
      <c r="AD14" s="6"/>
      <c r="AM14" s="59">
        <f t="shared" si="41"/>
        <v>17</v>
      </c>
      <c r="AN14" s="58">
        <f>MIN($E$9:E13)+AM13</f>
        <v>141.5</v>
      </c>
      <c r="AQ14" s="1">
        <f t="shared" si="16"/>
        <v>126.7</v>
      </c>
      <c r="AR14" s="38">
        <f t="shared" si="21"/>
        <v>125.1</v>
      </c>
      <c r="AS14" s="39">
        <f t="shared" si="22"/>
        <v>128.1</v>
      </c>
      <c r="AT14" s="38">
        <f t="shared" si="23"/>
        <v>131.1</v>
      </c>
      <c r="AU14" s="39">
        <f t="shared" si="24"/>
        <v>122.1</v>
      </c>
      <c r="AV14" s="1">
        <f t="shared" si="25"/>
        <v>0</v>
      </c>
      <c r="AW14" s="1">
        <f t="shared" si="26"/>
        <v>0</v>
      </c>
      <c r="AX14" s="1">
        <f t="shared" si="27"/>
        <v>124.5</v>
      </c>
      <c r="AY14" s="1">
        <f t="shared" si="40"/>
        <v>128</v>
      </c>
      <c r="BB14" s="41">
        <f t="shared" si="42"/>
        <v>137.61146623999997</v>
      </c>
      <c r="BC14" s="3">
        <f>MIN($D$7:D14)</f>
        <v>124</v>
      </c>
      <c r="BD14" s="3">
        <f t="shared" si="43"/>
        <v>13.61146623999997</v>
      </c>
      <c r="BE14" s="3">
        <f>MIN(IF(MIN($D$7:D14)&lt;MIN($D$7:D13),BE13+0.02,BE13),0.2)</f>
        <v>0.08</v>
      </c>
      <c r="BF14" s="3">
        <f t="shared" si="44"/>
        <v>1.0889172991999976</v>
      </c>
      <c r="BJ14" s="5">
        <f t="shared" si="28"/>
        <v>0</v>
      </c>
      <c r="BK14" s="5">
        <f t="shared" si="29"/>
        <v>1.5</v>
      </c>
      <c r="BL14" s="3"/>
      <c r="BM14" s="3"/>
      <c r="BO14" s="22"/>
      <c r="BP14" s="22"/>
      <c r="BQ14" s="22"/>
      <c r="BR14" s="20"/>
      <c r="BS14" s="22"/>
      <c r="BT14" s="22"/>
      <c r="BU14" s="6">
        <f t="shared" si="17"/>
        <v>-2193011.3333333335</v>
      </c>
      <c r="BV14" s="6">
        <f t="shared" si="18"/>
        <v>-1879724</v>
      </c>
      <c r="BW14" s="6">
        <f t="shared" si="30"/>
        <v>-2.8195836100934586</v>
      </c>
      <c r="CC14" s="66">
        <f t="shared" si="31"/>
        <v>126.33333333333333</v>
      </c>
      <c r="CD14" s="56">
        <f t="shared" si="32"/>
        <v>125.16666666666666</v>
      </c>
      <c r="CE14" s="66">
        <f t="shared" si="33"/>
        <v>128.16666666666666</v>
      </c>
      <c r="CF14" s="56">
        <f t="shared" si="34"/>
        <v>123.33333333333334</v>
      </c>
      <c r="CG14" s="66">
        <f t="shared" si="35"/>
        <v>129.33333333333331</v>
      </c>
      <c r="CH14" s="56">
        <f t="shared" si="36"/>
        <v>122.16666666666669</v>
      </c>
      <c r="CI14" s="66">
        <f t="shared" si="37"/>
        <v>130.5</v>
      </c>
      <c r="CJ14" s="56">
        <f t="shared" si="38"/>
        <v>120.33333333333336</v>
      </c>
      <c r="CK14" s="66">
        <f t="shared" si="39"/>
        <v>132.3333333333333</v>
      </c>
    </row>
    <row r="15" spans="1:89" ht="12.75">
      <c r="A15" s="83">
        <v>37882</v>
      </c>
      <c r="B15" s="52">
        <v>124.5</v>
      </c>
      <c r="C15" s="52">
        <v>127</v>
      </c>
      <c r="D15" s="52">
        <v>123</v>
      </c>
      <c r="E15" s="52">
        <v>127</v>
      </c>
      <c r="F15" s="4">
        <v>2811025</v>
      </c>
      <c r="G15" s="4">
        <f t="shared" si="0"/>
        <v>504</v>
      </c>
      <c r="H15" s="4">
        <f t="shared" si="1"/>
        <v>0</v>
      </c>
      <c r="I15" s="4">
        <f t="shared" si="2"/>
        <v>0</v>
      </c>
      <c r="J15" s="9">
        <f t="shared" si="19"/>
        <v>127.5</v>
      </c>
      <c r="K15" s="9">
        <f t="shared" si="20"/>
        <v>123</v>
      </c>
      <c r="L15" s="6">
        <f t="shared" si="3"/>
        <v>135.12800000000001</v>
      </c>
      <c r="M15" s="6">
        <f t="shared" si="4"/>
        <v>115.12799999999999</v>
      </c>
      <c r="Q15" s="1">
        <f t="shared" si="5"/>
        <v>4</v>
      </c>
      <c r="R15" s="1">
        <f t="shared" si="6"/>
        <v>1.5</v>
      </c>
      <c r="S15" s="1">
        <f t="shared" si="7"/>
        <v>2.5</v>
      </c>
      <c r="T15" s="6">
        <f t="shared" si="8"/>
        <v>4</v>
      </c>
      <c r="U15" s="6">
        <f t="shared" si="9"/>
        <v>4</v>
      </c>
      <c r="V15" s="3">
        <f t="shared" si="10"/>
        <v>0</v>
      </c>
      <c r="W15" s="3">
        <f t="shared" si="11"/>
        <v>2</v>
      </c>
      <c r="X15" s="3">
        <f t="shared" si="12"/>
        <v>0</v>
      </c>
      <c r="Y15" s="3">
        <f t="shared" si="13"/>
        <v>2</v>
      </c>
      <c r="Z15" s="3">
        <f t="shared" si="14"/>
        <v>0</v>
      </c>
      <c r="AA15" s="3">
        <f t="shared" si="15"/>
        <v>2</v>
      </c>
      <c r="AB15" s="30"/>
      <c r="AC15" s="6"/>
      <c r="AD15" s="6"/>
      <c r="AM15" s="59">
        <f t="shared" si="41"/>
        <v>13</v>
      </c>
      <c r="AN15" s="58">
        <f>MIN($E$9:E14)+AM14</f>
        <v>141.5</v>
      </c>
      <c r="AQ15" s="1">
        <f t="shared" si="16"/>
        <v>125.7</v>
      </c>
      <c r="AR15" s="38">
        <f t="shared" si="21"/>
        <v>123.9</v>
      </c>
      <c r="AS15" s="39">
        <f t="shared" si="22"/>
        <v>128.4</v>
      </c>
      <c r="AT15" s="38">
        <f t="shared" si="23"/>
        <v>132.9</v>
      </c>
      <c r="AU15" s="39">
        <f t="shared" si="24"/>
        <v>119.4</v>
      </c>
      <c r="AV15" s="1">
        <f t="shared" si="25"/>
        <v>0</v>
      </c>
      <c r="AW15" s="1">
        <f t="shared" si="26"/>
        <v>0</v>
      </c>
      <c r="AX15" s="1">
        <f t="shared" si="27"/>
        <v>124.5</v>
      </c>
      <c r="AY15" s="1">
        <f t="shared" si="40"/>
        <v>129.5</v>
      </c>
      <c r="BB15" s="41">
        <f t="shared" si="42"/>
        <v>136.52254894079996</v>
      </c>
      <c r="BC15" s="3">
        <f>MIN($D$7:D15)</f>
        <v>123</v>
      </c>
      <c r="BD15" s="3">
        <f t="shared" si="43"/>
        <v>13.522548940799965</v>
      </c>
      <c r="BE15" s="3">
        <f>MIN(IF(MIN($D$7:D15)&lt;MIN($D$7:D14),BE14+0.02,BE14),0.2)</f>
        <v>0.1</v>
      </c>
      <c r="BF15" s="3">
        <f t="shared" si="44"/>
        <v>1.3522548940799966</v>
      </c>
      <c r="BJ15" s="5">
        <f t="shared" si="28"/>
        <v>1.5</v>
      </c>
      <c r="BK15" s="5">
        <f t="shared" si="29"/>
        <v>0</v>
      </c>
      <c r="BL15" s="3"/>
      <c r="BM15" s="3"/>
      <c r="BO15" s="22"/>
      <c r="BP15" s="22"/>
      <c r="BQ15" s="22"/>
      <c r="BR15" s="20"/>
      <c r="BS15" s="22"/>
      <c r="BT15" s="22"/>
      <c r="BU15" s="6">
        <f t="shared" si="17"/>
        <v>2811025</v>
      </c>
      <c r="BV15" s="6">
        <f t="shared" si="18"/>
        <v>1756890.625</v>
      </c>
      <c r="BW15" s="6">
        <f t="shared" si="30"/>
        <v>2.8110221804163897</v>
      </c>
      <c r="CC15" s="66">
        <f t="shared" si="31"/>
        <v>126.66666666666667</v>
      </c>
      <c r="CD15" s="56">
        <f t="shared" si="32"/>
        <v>123.83333333333334</v>
      </c>
      <c r="CE15" s="66">
        <f t="shared" si="33"/>
        <v>128.33333333333334</v>
      </c>
      <c r="CF15" s="56">
        <f t="shared" si="34"/>
        <v>122.16666666666666</v>
      </c>
      <c r="CG15" s="66">
        <f t="shared" si="35"/>
        <v>131.16666666666669</v>
      </c>
      <c r="CH15" s="56">
        <f t="shared" si="36"/>
        <v>119.33333333333331</v>
      </c>
      <c r="CI15" s="66">
        <f t="shared" si="37"/>
        <v>134</v>
      </c>
      <c r="CJ15" s="56">
        <f t="shared" si="38"/>
        <v>117.66666666666664</v>
      </c>
      <c r="CK15" s="66">
        <f t="shared" si="39"/>
        <v>135.6666666666667</v>
      </c>
    </row>
    <row r="16" spans="1:89" ht="12.75">
      <c r="A16" s="83">
        <v>37883</v>
      </c>
      <c r="B16" s="53">
        <v>128</v>
      </c>
      <c r="C16" s="53">
        <v>128</v>
      </c>
      <c r="D16" s="52">
        <v>125</v>
      </c>
      <c r="E16" s="52">
        <v>126</v>
      </c>
      <c r="F16" s="4">
        <v>1944279</v>
      </c>
      <c r="G16" s="4">
        <f t="shared" si="0"/>
        <v>0</v>
      </c>
      <c r="H16" s="4">
        <f t="shared" si="1"/>
        <v>504</v>
      </c>
      <c r="I16" s="4">
        <f t="shared" si="2"/>
        <v>0</v>
      </c>
      <c r="J16" s="9">
        <f t="shared" si="19"/>
        <v>129</v>
      </c>
      <c r="K16" s="9">
        <f t="shared" si="20"/>
        <v>125</v>
      </c>
      <c r="L16" s="6">
        <f t="shared" si="3"/>
        <v>134.07114624505928</v>
      </c>
      <c r="M16" s="6">
        <f t="shared" si="4"/>
        <v>119.0711462450593</v>
      </c>
      <c r="Q16" s="1">
        <f t="shared" si="5"/>
        <v>3</v>
      </c>
      <c r="R16" s="1">
        <f t="shared" si="6"/>
        <v>1</v>
      </c>
      <c r="S16" s="1">
        <f t="shared" si="7"/>
        <v>2</v>
      </c>
      <c r="T16" s="6">
        <f t="shared" si="8"/>
        <v>3</v>
      </c>
      <c r="U16" s="6">
        <f t="shared" si="9"/>
        <v>3</v>
      </c>
      <c r="V16" s="3">
        <f t="shared" si="10"/>
        <v>1</v>
      </c>
      <c r="W16" s="3">
        <f t="shared" si="11"/>
        <v>0</v>
      </c>
      <c r="X16" s="3">
        <f t="shared" si="12"/>
        <v>1</v>
      </c>
      <c r="Y16" s="3">
        <f t="shared" si="13"/>
        <v>0</v>
      </c>
      <c r="Z16" s="3">
        <f t="shared" si="14"/>
        <v>1</v>
      </c>
      <c r="AA16" s="3">
        <f t="shared" si="15"/>
        <v>0</v>
      </c>
      <c r="AB16" s="30">
        <f aca="true" t="shared" si="45" ref="AB16:AB40">SUM(U3:U16)</f>
        <v>66</v>
      </c>
      <c r="AC16" s="6">
        <f aca="true" t="shared" si="46" ref="AC16:AC40">SUM(Z3:Z16)</f>
        <v>9</v>
      </c>
      <c r="AD16" s="6">
        <f aca="true" t="shared" si="47" ref="AD16:AD40">SUM(AA3:AA16)</f>
        <v>15.5</v>
      </c>
      <c r="AE16" s="16">
        <f aca="true" t="shared" si="48" ref="AE16:AE40">ROUND(((AC16/AB16)*100),0)</f>
        <v>14</v>
      </c>
      <c r="AF16" s="16">
        <f aca="true" t="shared" si="49" ref="AF16:AF40">ROUND(((AD16/AB16)*100),0)</f>
        <v>23</v>
      </c>
      <c r="AG16" s="1">
        <f aca="true" t="shared" si="50" ref="AG16:AG40">ABS(AE16-AF16)</f>
        <v>9</v>
      </c>
      <c r="AH16" s="1">
        <f aca="true" t="shared" si="51" ref="AH16:AH40">AE16+AF16</f>
        <v>37</v>
      </c>
      <c r="AI16" s="16">
        <f aca="true" t="shared" si="52" ref="AI16:AI40">ROUND(((AG16/AH16)*100),0)</f>
        <v>24</v>
      </c>
      <c r="AM16" s="59">
        <f t="shared" si="41"/>
        <v>11</v>
      </c>
      <c r="AN16" s="58">
        <f>MIN($E$9:E15)+AM15</f>
        <v>137.5</v>
      </c>
      <c r="AQ16" s="1">
        <f t="shared" si="16"/>
        <v>126.3</v>
      </c>
      <c r="AR16" s="38">
        <f t="shared" si="21"/>
        <v>124.4</v>
      </c>
      <c r="AS16" s="39">
        <f t="shared" si="22"/>
        <v>128.4</v>
      </c>
      <c r="AT16" s="38">
        <f t="shared" si="23"/>
        <v>132.4</v>
      </c>
      <c r="AU16" s="39">
        <f t="shared" si="24"/>
        <v>120.4</v>
      </c>
      <c r="AV16" s="1">
        <f t="shared" si="25"/>
        <v>0</v>
      </c>
      <c r="AW16" s="1">
        <f t="shared" si="26"/>
        <v>0</v>
      </c>
      <c r="AX16" s="1">
        <f t="shared" si="27"/>
        <v>123</v>
      </c>
      <c r="AY16" s="1">
        <f t="shared" si="40"/>
        <v>129.5</v>
      </c>
      <c r="BB16" s="41">
        <f t="shared" si="42"/>
        <v>135.17029404671996</v>
      </c>
      <c r="BC16" s="3">
        <f>MIN($D$7:D16)</f>
        <v>123</v>
      </c>
      <c r="BD16" s="3">
        <f t="shared" si="43"/>
        <v>12.17029404671996</v>
      </c>
      <c r="BE16" s="3">
        <f>MIN(IF(MIN($D$7:D16)&lt;MIN($D$7:D15),BE15+0.02,BE15),0.2)</f>
        <v>0.1</v>
      </c>
      <c r="BF16" s="3">
        <f t="shared" si="44"/>
        <v>1.217029404671996</v>
      </c>
      <c r="BJ16" s="5">
        <f t="shared" si="28"/>
        <v>0</v>
      </c>
      <c r="BK16" s="5">
        <f t="shared" si="29"/>
        <v>1</v>
      </c>
      <c r="BL16" s="3">
        <f>SUM(BJ3:BJ16)/14</f>
        <v>0.6428571428571429</v>
      </c>
      <c r="BM16" s="3">
        <f>SUM(BK3:BK16)/14</f>
        <v>1.4642857142857142</v>
      </c>
      <c r="BN16" s="30">
        <f>100-(100/(1+(BL16/BM16)))</f>
        <v>30.508474576271183</v>
      </c>
      <c r="BO16" s="22"/>
      <c r="BP16" s="22"/>
      <c r="BQ16" s="22"/>
      <c r="BR16" s="20"/>
      <c r="BS16" s="22"/>
      <c r="BT16" s="22"/>
      <c r="BU16" s="6">
        <f t="shared" si="17"/>
        <v>-648093</v>
      </c>
      <c r="BV16" s="6">
        <f t="shared" si="18"/>
        <v>-1296186</v>
      </c>
      <c r="BW16" s="6">
        <f t="shared" si="30"/>
        <v>-1.9442761889778197</v>
      </c>
      <c r="BX16" s="25">
        <f>AVERAGE(BU3:BU16)</f>
        <v>-809083.713844885</v>
      </c>
      <c r="BY16" s="25">
        <f>AVERAGE(BV3:BV16)</f>
        <v>-896062.33823934</v>
      </c>
      <c r="BZ16" s="26">
        <f>AVERAGE(BW3:BW16)</f>
        <v>-1.3609166506112085</v>
      </c>
      <c r="CC16" s="66">
        <f t="shared" si="31"/>
        <v>125.66666666666667</v>
      </c>
      <c r="CD16" s="56">
        <f t="shared" si="32"/>
        <v>124.33333333333334</v>
      </c>
      <c r="CE16" s="66">
        <f t="shared" si="33"/>
        <v>128.33333333333334</v>
      </c>
      <c r="CF16" s="56">
        <f t="shared" si="34"/>
        <v>121.66666666666666</v>
      </c>
      <c r="CG16" s="66">
        <f t="shared" si="35"/>
        <v>129.66666666666669</v>
      </c>
      <c r="CH16" s="56">
        <f t="shared" si="36"/>
        <v>120.33333333333331</v>
      </c>
      <c r="CI16" s="66">
        <f t="shared" si="37"/>
        <v>131</v>
      </c>
      <c r="CJ16" s="56">
        <f t="shared" si="38"/>
        <v>117.66666666666664</v>
      </c>
      <c r="CK16" s="66">
        <f t="shared" si="39"/>
        <v>133.6666666666667</v>
      </c>
    </row>
    <row r="17" spans="1:89" ht="12.75">
      <c r="A17" s="83">
        <v>37886</v>
      </c>
      <c r="B17" s="53">
        <v>124.5</v>
      </c>
      <c r="C17" s="53">
        <v>125</v>
      </c>
      <c r="D17" s="52">
        <v>122</v>
      </c>
      <c r="E17" s="52">
        <v>123</v>
      </c>
      <c r="F17" s="4">
        <v>7133125</v>
      </c>
      <c r="G17" s="4">
        <f t="shared" si="0"/>
        <v>0</v>
      </c>
      <c r="H17" s="4">
        <f t="shared" si="1"/>
        <v>492</v>
      </c>
      <c r="I17" s="4">
        <f t="shared" si="2"/>
        <v>0</v>
      </c>
      <c r="J17" s="9">
        <f t="shared" si="19"/>
        <v>127</v>
      </c>
      <c r="K17" s="9">
        <f t="shared" si="20"/>
        <v>124</v>
      </c>
      <c r="L17" s="6">
        <f t="shared" si="3"/>
        <v>131.07287449392712</v>
      </c>
      <c r="M17" s="6">
        <f t="shared" si="4"/>
        <v>116.07287449392712</v>
      </c>
      <c r="Q17" s="1">
        <f t="shared" si="5"/>
        <v>3</v>
      </c>
      <c r="R17" s="1">
        <f t="shared" si="6"/>
        <v>1</v>
      </c>
      <c r="S17" s="1">
        <f t="shared" si="7"/>
        <v>4</v>
      </c>
      <c r="T17" s="6">
        <f t="shared" si="8"/>
        <v>3</v>
      </c>
      <c r="U17" s="6">
        <f t="shared" si="9"/>
        <v>4</v>
      </c>
      <c r="V17" s="3">
        <f t="shared" si="10"/>
        <v>0</v>
      </c>
      <c r="W17" s="3">
        <f t="shared" si="11"/>
        <v>3</v>
      </c>
      <c r="X17" s="3">
        <f t="shared" si="12"/>
        <v>0</v>
      </c>
      <c r="Y17" s="3">
        <f t="shared" si="13"/>
        <v>3</v>
      </c>
      <c r="Z17" s="3">
        <f t="shared" si="14"/>
        <v>0</v>
      </c>
      <c r="AA17" s="3">
        <f t="shared" si="15"/>
        <v>3</v>
      </c>
      <c r="AB17" s="30">
        <f t="shared" si="45"/>
        <v>67</v>
      </c>
      <c r="AC17" s="6">
        <f t="shared" si="46"/>
        <v>9</v>
      </c>
      <c r="AD17" s="6">
        <f t="shared" si="47"/>
        <v>17</v>
      </c>
      <c r="AE17" s="16">
        <f t="shared" si="48"/>
        <v>13</v>
      </c>
      <c r="AF17" s="16">
        <f t="shared" si="49"/>
        <v>25</v>
      </c>
      <c r="AG17" s="1">
        <f t="shared" si="50"/>
        <v>12</v>
      </c>
      <c r="AH17" s="1">
        <f t="shared" si="51"/>
        <v>38</v>
      </c>
      <c r="AI17" s="16">
        <f t="shared" si="52"/>
        <v>32</v>
      </c>
      <c r="AM17" s="59">
        <f t="shared" si="41"/>
        <v>11</v>
      </c>
      <c r="AN17" s="58">
        <f>MIN($E$9:E16)+AM16</f>
        <v>135.5</v>
      </c>
      <c r="AQ17" s="1">
        <f t="shared" si="16"/>
        <v>123.3</v>
      </c>
      <c r="AR17" s="38">
        <f t="shared" si="21"/>
        <v>124.6</v>
      </c>
      <c r="AS17" s="39">
        <f t="shared" si="22"/>
        <v>127.6</v>
      </c>
      <c r="AT17" s="38">
        <f t="shared" si="23"/>
        <v>130.6</v>
      </c>
      <c r="AU17" s="39">
        <f t="shared" si="24"/>
        <v>121.6</v>
      </c>
      <c r="AV17" s="1">
        <f t="shared" si="25"/>
        <v>0</v>
      </c>
      <c r="AW17" s="1">
        <f t="shared" si="26"/>
        <v>0</v>
      </c>
      <c r="AX17" s="1">
        <f t="shared" si="27"/>
        <v>123</v>
      </c>
      <c r="AY17" s="1">
        <f t="shared" si="40"/>
        <v>128</v>
      </c>
      <c r="BB17" s="41">
        <f t="shared" si="42"/>
        <v>133.95326464204797</v>
      </c>
      <c r="BC17" s="3">
        <f>MIN($D$7:D17)</f>
        <v>122</v>
      </c>
      <c r="BD17" s="3">
        <f t="shared" si="43"/>
        <v>11.95326464204797</v>
      </c>
      <c r="BE17" s="3">
        <f>MIN(IF(MIN($D$7:D17)&lt;MIN($D$7:D16),BE16+0.02,BE16),0.2)</f>
        <v>0.12000000000000001</v>
      </c>
      <c r="BF17" s="3">
        <f t="shared" si="44"/>
        <v>1.4343917570457565</v>
      </c>
      <c r="BJ17" s="5">
        <f t="shared" si="28"/>
        <v>0</v>
      </c>
      <c r="BK17" s="5">
        <f t="shared" si="29"/>
        <v>3</v>
      </c>
      <c r="BL17" s="3">
        <f aca="true" t="shared" si="53" ref="BL17:BL51">SUM(BJ4:BJ17)/14</f>
        <v>0.6428571428571429</v>
      </c>
      <c r="BM17" s="3">
        <f aca="true" t="shared" si="54" ref="BM17:BM51">SUM(BK4:BK17)/14</f>
        <v>1.6428571428571428</v>
      </c>
      <c r="BN17" s="30">
        <f aca="true" t="shared" si="55" ref="BN17:BN51">100-(100/(1+(BL17/BM17)))</f>
        <v>28.125</v>
      </c>
      <c r="BO17" s="22"/>
      <c r="BP17" s="22"/>
      <c r="BQ17" s="22"/>
      <c r="BR17" s="20"/>
      <c r="BS17" s="22"/>
      <c r="BT17" s="22"/>
      <c r="BU17" s="6">
        <f t="shared" si="17"/>
        <v>-2377708.333333333</v>
      </c>
      <c r="BV17" s="6">
        <f t="shared" si="18"/>
        <v>-3566562.5</v>
      </c>
      <c r="BW17" s="6">
        <f t="shared" si="30"/>
        <v>-7.1331269442761895</v>
      </c>
      <c r="BX17" s="25">
        <f aca="true" t="shared" si="56" ref="BX17:BX51">AVERAGE(BU4:BU17)</f>
        <v>-1085962.0471782184</v>
      </c>
      <c r="BY17" s="25">
        <f aca="true" t="shared" si="57" ref="BY17:BY51">AVERAGE(BV4:BV17)</f>
        <v>-1043774.7787155304</v>
      </c>
      <c r="BZ17" s="26">
        <f aca="true" t="shared" si="58" ref="BZ17:BZ51">AVERAGE(BW4:BW17)</f>
        <v>-1.5492996466309363</v>
      </c>
      <c r="CC17" s="66">
        <f t="shared" si="31"/>
        <v>126.33333333333333</v>
      </c>
      <c r="CD17" s="56">
        <f t="shared" si="32"/>
        <v>124.66666666666666</v>
      </c>
      <c r="CE17" s="66">
        <f t="shared" si="33"/>
        <v>127.66666666666666</v>
      </c>
      <c r="CF17" s="56">
        <f t="shared" si="34"/>
        <v>123.33333333333334</v>
      </c>
      <c r="CG17" s="66">
        <f t="shared" si="35"/>
        <v>129.33333333333331</v>
      </c>
      <c r="CH17" s="56">
        <f t="shared" si="36"/>
        <v>121.66666666666669</v>
      </c>
      <c r="CI17" s="66">
        <f t="shared" si="37"/>
        <v>131</v>
      </c>
      <c r="CJ17" s="56">
        <f t="shared" si="38"/>
        <v>120.33333333333336</v>
      </c>
      <c r="CK17" s="66">
        <f t="shared" si="39"/>
        <v>132.3333333333333</v>
      </c>
    </row>
    <row r="18" spans="1:89" ht="12.75">
      <c r="A18" s="83">
        <v>37887</v>
      </c>
      <c r="B18" s="52">
        <v>121.5</v>
      </c>
      <c r="C18" s="52">
        <v>123</v>
      </c>
      <c r="D18" s="52">
        <v>120</v>
      </c>
      <c r="E18" s="52">
        <v>120.5</v>
      </c>
      <c r="F18" s="4">
        <v>5017832</v>
      </c>
      <c r="G18" s="4">
        <f t="shared" si="0"/>
        <v>0</v>
      </c>
      <c r="H18" s="4">
        <f t="shared" si="1"/>
        <v>483.5</v>
      </c>
      <c r="I18" s="4">
        <f t="shared" si="2"/>
        <v>0</v>
      </c>
      <c r="J18" s="9">
        <f t="shared" si="19"/>
        <v>124</v>
      </c>
      <c r="K18" s="9">
        <f t="shared" si="20"/>
        <v>121</v>
      </c>
      <c r="L18" s="6">
        <f t="shared" si="3"/>
        <v>129.07407407407408</v>
      </c>
      <c r="M18" s="6">
        <f t="shared" si="4"/>
        <v>114.07407407407408</v>
      </c>
      <c r="Q18" s="1">
        <f t="shared" si="5"/>
        <v>3</v>
      </c>
      <c r="R18" s="1">
        <f t="shared" si="6"/>
        <v>0</v>
      </c>
      <c r="S18" s="1">
        <f t="shared" si="7"/>
        <v>3</v>
      </c>
      <c r="T18" s="6">
        <f t="shared" si="8"/>
        <v>3</v>
      </c>
      <c r="U18" s="6">
        <f t="shared" si="9"/>
        <v>3</v>
      </c>
      <c r="V18" s="3">
        <f t="shared" si="10"/>
        <v>0</v>
      </c>
      <c r="W18" s="3">
        <f t="shared" si="11"/>
        <v>2</v>
      </c>
      <c r="X18" s="3">
        <f t="shared" si="12"/>
        <v>0</v>
      </c>
      <c r="Y18" s="3">
        <f t="shared" si="13"/>
        <v>2</v>
      </c>
      <c r="Z18" s="3">
        <f t="shared" si="14"/>
        <v>0</v>
      </c>
      <c r="AA18" s="3">
        <f t="shared" si="15"/>
        <v>2</v>
      </c>
      <c r="AB18" s="30">
        <f t="shared" si="45"/>
        <v>65</v>
      </c>
      <c r="AC18" s="6">
        <f t="shared" si="46"/>
        <v>5</v>
      </c>
      <c r="AD18" s="6">
        <f t="shared" si="47"/>
        <v>19</v>
      </c>
      <c r="AE18" s="16">
        <f t="shared" si="48"/>
        <v>8</v>
      </c>
      <c r="AF18" s="16">
        <f t="shared" si="49"/>
        <v>29</v>
      </c>
      <c r="AG18" s="1">
        <f t="shared" si="50"/>
        <v>21</v>
      </c>
      <c r="AH18" s="1">
        <f t="shared" si="51"/>
        <v>37</v>
      </c>
      <c r="AI18" s="16">
        <f t="shared" si="52"/>
        <v>57</v>
      </c>
      <c r="AM18" s="59">
        <f t="shared" si="41"/>
        <v>10</v>
      </c>
      <c r="AN18" s="58">
        <f>MIN($E$9:E17)+AM17</f>
        <v>134</v>
      </c>
      <c r="AQ18" s="1">
        <f t="shared" si="16"/>
        <v>121.2</v>
      </c>
      <c r="AR18" s="38">
        <f t="shared" si="21"/>
        <v>121.6</v>
      </c>
      <c r="AS18" s="39">
        <f t="shared" si="22"/>
        <v>124.6</v>
      </c>
      <c r="AT18" s="38">
        <f t="shared" si="23"/>
        <v>127.6</v>
      </c>
      <c r="AU18" s="39">
        <f t="shared" si="24"/>
        <v>118.6</v>
      </c>
      <c r="AV18" s="1">
        <f t="shared" si="25"/>
        <v>0</v>
      </c>
      <c r="AW18" s="1">
        <f t="shared" si="26"/>
        <v>0</v>
      </c>
      <c r="AX18" s="1">
        <f t="shared" si="27"/>
        <v>122</v>
      </c>
      <c r="AY18" s="1">
        <f t="shared" si="40"/>
        <v>128</v>
      </c>
      <c r="BB18" s="41">
        <f t="shared" si="42"/>
        <v>132.51887288500222</v>
      </c>
      <c r="BC18" s="3">
        <f>MIN($D$7:D18)</f>
        <v>120</v>
      </c>
      <c r="BD18" s="3">
        <f t="shared" si="43"/>
        <v>12.518872885002224</v>
      </c>
      <c r="BE18" s="3">
        <f>MIN(IF(MIN($D$7:D18)&lt;MIN($D$7:D17),BE17+0.02,BE17),0.2)</f>
        <v>0.14</v>
      </c>
      <c r="BF18" s="3">
        <f t="shared" si="44"/>
        <v>1.7526422039003116</v>
      </c>
      <c r="BJ18" s="5">
        <f t="shared" si="28"/>
        <v>0</v>
      </c>
      <c r="BK18" s="5">
        <f t="shared" si="29"/>
        <v>2.5</v>
      </c>
      <c r="BL18" s="3">
        <f t="shared" si="53"/>
        <v>0.39285714285714285</v>
      </c>
      <c r="BM18" s="3">
        <f t="shared" si="54"/>
        <v>1.8214285714285714</v>
      </c>
      <c r="BN18" s="30">
        <f t="shared" si="55"/>
        <v>17.741935483870975</v>
      </c>
      <c r="BO18" s="22"/>
      <c r="BP18" s="22"/>
      <c r="BQ18" s="22"/>
      <c r="BR18" s="20"/>
      <c r="BS18" s="22"/>
      <c r="BT18" s="22"/>
      <c r="BU18" s="6">
        <f t="shared" si="17"/>
        <v>-3345221.333333333</v>
      </c>
      <c r="BV18" s="6">
        <f t="shared" si="18"/>
        <v>-1672610.6666666665</v>
      </c>
      <c r="BW18" s="6">
        <f t="shared" si="30"/>
        <v>-5.0178391331269445</v>
      </c>
      <c r="BX18" s="25">
        <f t="shared" si="56"/>
        <v>-1324906.4281305992</v>
      </c>
      <c r="BY18" s="25">
        <f t="shared" si="57"/>
        <v>-1251973.8739536258</v>
      </c>
      <c r="BZ18" s="26">
        <f t="shared" si="58"/>
        <v>-2.173897120728218</v>
      </c>
      <c r="CC18" s="66">
        <f t="shared" si="31"/>
        <v>123.33333333333333</v>
      </c>
      <c r="CD18" s="56">
        <f t="shared" si="32"/>
        <v>121.66666666666666</v>
      </c>
      <c r="CE18" s="66">
        <f t="shared" si="33"/>
        <v>124.66666666666666</v>
      </c>
      <c r="CF18" s="56">
        <f t="shared" si="34"/>
        <v>120.33333333333334</v>
      </c>
      <c r="CG18" s="66">
        <f t="shared" si="35"/>
        <v>126.33333333333333</v>
      </c>
      <c r="CH18" s="56">
        <f t="shared" si="36"/>
        <v>118.66666666666667</v>
      </c>
      <c r="CI18" s="66">
        <f t="shared" si="37"/>
        <v>128</v>
      </c>
      <c r="CJ18" s="56">
        <f t="shared" si="38"/>
        <v>117.33333333333334</v>
      </c>
      <c r="CK18" s="66">
        <f t="shared" si="39"/>
        <v>129.33333333333331</v>
      </c>
    </row>
    <row r="19" spans="1:89" ht="12.75">
      <c r="A19" s="83">
        <v>37888</v>
      </c>
      <c r="B19" s="52">
        <v>121</v>
      </c>
      <c r="C19" s="52">
        <v>122.5</v>
      </c>
      <c r="D19" s="52">
        <v>119</v>
      </c>
      <c r="E19" s="52">
        <v>119</v>
      </c>
      <c r="F19" s="4">
        <v>3352521</v>
      </c>
      <c r="G19" s="4">
        <f t="shared" si="0"/>
        <v>0</v>
      </c>
      <c r="H19" s="4">
        <f t="shared" si="1"/>
        <v>479.5</v>
      </c>
      <c r="I19" s="4">
        <f t="shared" si="2"/>
        <v>0</v>
      </c>
      <c r="J19" s="9">
        <f t="shared" si="19"/>
        <v>121.75</v>
      </c>
      <c r="K19" s="9">
        <f t="shared" si="20"/>
        <v>118.75</v>
      </c>
      <c r="L19" s="6">
        <f t="shared" si="3"/>
        <v>129.6014492753623</v>
      </c>
      <c r="M19" s="6">
        <f t="shared" si="4"/>
        <v>112.10144927536231</v>
      </c>
      <c r="Q19" s="1">
        <f t="shared" si="5"/>
        <v>3.5</v>
      </c>
      <c r="R19" s="1">
        <f t="shared" si="6"/>
        <v>2</v>
      </c>
      <c r="S19" s="1">
        <f t="shared" si="7"/>
        <v>1.5</v>
      </c>
      <c r="T19" s="6">
        <f t="shared" si="8"/>
        <v>3.5</v>
      </c>
      <c r="U19" s="6">
        <f t="shared" si="9"/>
        <v>3.5</v>
      </c>
      <c r="V19" s="3">
        <f t="shared" si="10"/>
        <v>0</v>
      </c>
      <c r="W19" s="3">
        <f t="shared" si="11"/>
        <v>1</v>
      </c>
      <c r="X19" s="3">
        <f t="shared" si="12"/>
        <v>0</v>
      </c>
      <c r="Y19" s="3">
        <f t="shared" si="13"/>
        <v>1</v>
      </c>
      <c r="Z19" s="3">
        <f t="shared" si="14"/>
        <v>0</v>
      </c>
      <c r="AA19" s="3">
        <f t="shared" si="15"/>
        <v>1</v>
      </c>
      <c r="AB19" s="30">
        <f t="shared" si="45"/>
        <v>66</v>
      </c>
      <c r="AC19" s="6">
        <f t="shared" si="46"/>
        <v>5</v>
      </c>
      <c r="AD19" s="6">
        <f t="shared" si="47"/>
        <v>20</v>
      </c>
      <c r="AE19" s="16">
        <f t="shared" si="48"/>
        <v>8</v>
      </c>
      <c r="AF19" s="16">
        <f t="shared" si="49"/>
        <v>30</v>
      </c>
      <c r="AG19" s="1">
        <f t="shared" si="50"/>
        <v>22</v>
      </c>
      <c r="AH19" s="1">
        <f t="shared" si="51"/>
        <v>38</v>
      </c>
      <c r="AI19" s="16">
        <f t="shared" si="52"/>
        <v>58</v>
      </c>
      <c r="AM19" s="59">
        <f t="shared" si="41"/>
        <v>11</v>
      </c>
      <c r="AN19" s="58">
        <f>MIN($E$9:E18)+AM18</f>
        <v>130.5</v>
      </c>
      <c r="AQ19" s="1">
        <f t="shared" si="16"/>
        <v>120.2</v>
      </c>
      <c r="AR19" s="38">
        <f t="shared" si="21"/>
        <v>119.4</v>
      </c>
      <c r="AS19" s="39">
        <f t="shared" si="22"/>
        <v>122.4</v>
      </c>
      <c r="AT19" s="38">
        <f t="shared" si="23"/>
        <v>125.4</v>
      </c>
      <c r="AU19" s="39">
        <f t="shared" si="24"/>
        <v>116.4</v>
      </c>
      <c r="AV19" s="1">
        <f t="shared" si="25"/>
        <v>0</v>
      </c>
      <c r="AW19" s="1">
        <f t="shared" si="26"/>
        <v>0</v>
      </c>
      <c r="AX19" s="1">
        <f t="shared" si="27"/>
        <v>120</v>
      </c>
      <c r="AY19" s="1">
        <f t="shared" si="40"/>
        <v>125</v>
      </c>
      <c r="BB19" s="41">
        <f t="shared" si="42"/>
        <v>130.76623068110192</v>
      </c>
      <c r="BC19" s="3">
        <f>MIN($D$7:D19)</f>
        <v>119</v>
      </c>
      <c r="BD19" s="3">
        <f t="shared" si="43"/>
        <v>11.766230681101916</v>
      </c>
      <c r="BE19" s="3">
        <f>MIN(IF(MIN($D$7:D19)&lt;MIN($D$7:D18),BE18+0.02,BE18),0.2)</f>
        <v>0.16</v>
      </c>
      <c r="BF19" s="3">
        <f t="shared" si="44"/>
        <v>1.8825969089763066</v>
      </c>
      <c r="BJ19" s="5">
        <f t="shared" si="28"/>
        <v>0</v>
      </c>
      <c r="BK19" s="5">
        <f t="shared" si="29"/>
        <v>1.5</v>
      </c>
      <c r="BL19" s="3">
        <f t="shared" si="53"/>
        <v>0.39285714285714285</v>
      </c>
      <c r="BM19" s="3">
        <f t="shared" si="54"/>
        <v>1.8571428571428572</v>
      </c>
      <c r="BN19" s="30">
        <f t="shared" si="55"/>
        <v>17.460317460317455</v>
      </c>
      <c r="BO19" s="22"/>
      <c r="BP19" s="22"/>
      <c r="BQ19" s="22"/>
      <c r="BR19" s="20"/>
      <c r="BS19" s="22"/>
      <c r="BT19" s="22"/>
      <c r="BU19" s="6">
        <f t="shared" si="17"/>
        <v>-3352521</v>
      </c>
      <c r="BV19" s="6">
        <f t="shared" si="18"/>
        <v>-1915726.2857142857</v>
      </c>
      <c r="BW19" s="6">
        <f t="shared" si="30"/>
        <v>-3.3525260178391334</v>
      </c>
      <c r="BX19" s="25">
        <f t="shared" si="56"/>
        <v>-1449875.5852734563</v>
      </c>
      <c r="BY19" s="25">
        <f t="shared" si="57"/>
        <v>-1388811.4657903607</v>
      </c>
      <c r="BZ19" s="26">
        <f t="shared" si="58"/>
        <v>-2.2225358167542635</v>
      </c>
      <c r="CC19" s="66">
        <f t="shared" si="31"/>
        <v>121.16666666666667</v>
      </c>
      <c r="CD19" s="56">
        <f t="shared" si="32"/>
        <v>119.33333333333334</v>
      </c>
      <c r="CE19" s="66">
        <f t="shared" si="33"/>
        <v>122.33333333333334</v>
      </c>
      <c r="CF19" s="56">
        <f t="shared" si="34"/>
        <v>118.16666666666666</v>
      </c>
      <c r="CG19" s="66">
        <f t="shared" si="35"/>
        <v>124.16666666666667</v>
      </c>
      <c r="CH19" s="56">
        <f t="shared" si="36"/>
        <v>116.33333333333333</v>
      </c>
      <c r="CI19" s="66">
        <f t="shared" si="37"/>
        <v>126</v>
      </c>
      <c r="CJ19" s="56">
        <f t="shared" si="38"/>
        <v>115.16666666666666</v>
      </c>
      <c r="CK19" s="66">
        <f t="shared" si="39"/>
        <v>127.16666666666669</v>
      </c>
    </row>
    <row r="20" spans="1:89" ht="12.75">
      <c r="A20" s="83">
        <v>37889</v>
      </c>
      <c r="B20" s="53">
        <v>117</v>
      </c>
      <c r="C20" s="52">
        <v>118.5</v>
      </c>
      <c r="D20" s="53">
        <v>117</v>
      </c>
      <c r="E20" s="52">
        <v>118</v>
      </c>
      <c r="F20" s="4">
        <v>3375623</v>
      </c>
      <c r="G20" s="4">
        <f t="shared" si="0"/>
        <v>472</v>
      </c>
      <c r="H20" s="4">
        <f t="shared" si="1"/>
        <v>0</v>
      </c>
      <c r="I20" s="4">
        <f t="shared" si="2"/>
        <v>0</v>
      </c>
      <c r="J20" s="9">
        <f t="shared" si="19"/>
        <v>120.75</v>
      </c>
      <c r="K20" s="9">
        <f t="shared" si="20"/>
        <v>117.25</v>
      </c>
      <c r="L20" s="6">
        <f t="shared" si="3"/>
        <v>121.51910828025477</v>
      </c>
      <c r="M20" s="6">
        <f t="shared" si="4"/>
        <v>114.01910828025478</v>
      </c>
      <c r="Q20" s="1">
        <f t="shared" si="5"/>
        <v>1.5</v>
      </c>
      <c r="R20" s="1">
        <f t="shared" si="6"/>
        <v>0.5</v>
      </c>
      <c r="S20" s="1">
        <f t="shared" si="7"/>
        <v>2</v>
      </c>
      <c r="T20" s="6">
        <f t="shared" si="8"/>
        <v>1.5</v>
      </c>
      <c r="U20" s="6">
        <f t="shared" si="9"/>
        <v>2</v>
      </c>
      <c r="V20" s="3">
        <f t="shared" si="10"/>
        <v>0</v>
      </c>
      <c r="W20" s="3">
        <f t="shared" si="11"/>
        <v>2</v>
      </c>
      <c r="X20" s="3">
        <f t="shared" si="12"/>
        <v>0</v>
      </c>
      <c r="Y20" s="3">
        <f t="shared" si="13"/>
        <v>2</v>
      </c>
      <c r="Z20" s="3">
        <f t="shared" si="14"/>
        <v>0</v>
      </c>
      <c r="AA20" s="3">
        <f t="shared" si="15"/>
        <v>2</v>
      </c>
      <c r="AB20" s="30">
        <f t="shared" si="45"/>
        <v>63.5</v>
      </c>
      <c r="AC20" s="6">
        <f t="shared" si="46"/>
        <v>5</v>
      </c>
      <c r="AD20" s="6">
        <f t="shared" si="47"/>
        <v>18</v>
      </c>
      <c r="AE20" s="16">
        <f t="shared" si="48"/>
        <v>8</v>
      </c>
      <c r="AF20" s="16">
        <f t="shared" si="49"/>
        <v>28</v>
      </c>
      <c r="AG20" s="1">
        <f t="shared" si="50"/>
        <v>20</v>
      </c>
      <c r="AH20" s="1">
        <f t="shared" si="51"/>
        <v>36</v>
      </c>
      <c r="AI20" s="16">
        <f t="shared" si="52"/>
        <v>56</v>
      </c>
      <c r="AM20" s="59">
        <f t="shared" si="41"/>
        <v>10</v>
      </c>
      <c r="AN20" s="58">
        <f>MIN($E$9:E19)+AM19</f>
        <v>130</v>
      </c>
      <c r="AQ20" s="1">
        <f t="shared" si="16"/>
        <v>117.8</v>
      </c>
      <c r="AR20" s="38">
        <f t="shared" si="21"/>
        <v>117.9</v>
      </c>
      <c r="AS20" s="39">
        <f t="shared" si="22"/>
        <v>121.4</v>
      </c>
      <c r="AT20" s="38">
        <f t="shared" si="23"/>
        <v>124.9</v>
      </c>
      <c r="AU20" s="39">
        <f t="shared" si="24"/>
        <v>114.4</v>
      </c>
      <c r="AV20" s="1">
        <f t="shared" si="25"/>
        <v>0</v>
      </c>
      <c r="AW20" s="1">
        <f t="shared" si="26"/>
        <v>0</v>
      </c>
      <c r="AX20" s="1">
        <f t="shared" si="27"/>
        <v>119</v>
      </c>
      <c r="AY20" s="1">
        <f t="shared" si="40"/>
        <v>123</v>
      </c>
      <c r="BB20" s="41">
        <f t="shared" si="42"/>
        <v>128.88363377212562</v>
      </c>
      <c r="BC20" s="3">
        <f>MIN($D$7:D20)</f>
        <v>117</v>
      </c>
      <c r="BD20" s="3">
        <f t="shared" si="43"/>
        <v>11.88363377212562</v>
      </c>
      <c r="BE20" s="3">
        <f>MIN(IF(MIN($D$7:D20)&lt;MIN($D$7:D19),BE19+0.02,BE19),0.2)</f>
        <v>0.18</v>
      </c>
      <c r="BF20" s="3">
        <f t="shared" si="44"/>
        <v>2.1390540789826114</v>
      </c>
      <c r="BJ20" s="5">
        <f t="shared" si="28"/>
        <v>0</v>
      </c>
      <c r="BK20" s="5">
        <f t="shared" si="29"/>
        <v>1</v>
      </c>
      <c r="BL20" s="3">
        <f t="shared" si="53"/>
        <v>0.39285714285714285</v>
      </c>
      <c r="BM20" s="3">
        <f t="shared" si="54"/>
        <v>1.7857142857142858</v>
      </c>
      <c r="BN20" s="30">
        <f t="shared" si="55"/>
        <v>18.032786885245898</v>
      </c>
      <c r="BO20" s="22"/>
      <c r="BP20" s="22"/>
      <c r="BQ20" s="22"/>
      <c r="BR20" s="20"/>
      <c r="BS20" s="22"/>
      <c r="BT20" s="22"/>
      <c r="BU20" s="6">
        <f t="shared" si="17"/>
        <v>1125207.6666666665</v>
      </c>
      <c r="BV20" s="6">
        <f t="shared" si="18"/>
        <v>2250415.333333333</v>
      </c>
      <c r="BW20" s="6">
        <f t="shared" si="30"/>
        <v>-3.3756263525260177</v>
      </c>
      <c r="BX20" s="25">
        <f t="shared" si="56"/>
        <v>-1398602.505908377</v>
      </c>
      <c r="BY20" s="25">
        <f t="shared" si="57"/>
        <v>-1111671.9261078206</v>
      </c>
      <c r="BZ20" s="26">
        <f t="shared" si="58"/>
        <v>-2.201761722535817</v>
      </c>
      <c r="CA20" s="33">
        <f>AVERAGE(E18:E20)/AVERAGE(E2:E8)</f>
        <v>0.8662166839736932</v>
      </c>
      <c r="CB20" s="27">
        <f>AVERAGE(F18:F20)/AVERAGE(F2:F8)</f>
        <v>0.8591210664257252</v>
      </c>
      <c r="CC20" s="66">
        <f t="shared" si="31"/>
        <v>120.16666666666667</v>
      </c>
      <c r="CD20" s="56">
        <f t="shared" si="32"/>
        <v>117.83333333333334</v>
      </c>
      <c r="CE20" s="66">
        <f t="shared" si="33"/>
        <v>121.33333333333334</v>
      </c>
      <c r="CF20" s="56">
        <f t="shared" si="34"/>
        <v>116.66666666666666</v>
      </c>
      <c r="CG20" s="66">
        <f t="shared" si="35"/>
        <v>123.66666666666667</v>
      </c>
      <c r="CH20" s="56">
        <f t="shared" si="36"/>
        <v>114.33333333333333</v>
      </c>
      <c r="CI20" s="66">
        <f t="shared" si="37"/>
        <v>126</v>
      </c>
      <c r="CJ20" s="56">
        <f t="shared" si="38"/>
        <v>113.16666666666666</v>
      </c>
      <c r="CK20" s="66">
        <f t="shared" si="39"/>
        <v>127.16666666666669</v>
      </c>
    </row>
    <row r="21" spans="1:97" ht="12" customHeight="1">
      <c r="A21" s="83">
        <v>37890</v>
      </c>
      <c r="B21" s="52">
        <v>118.5</v>
      </c>
      <c r="C21" s="52">
        <v>120.5</v>
      </c>
      <c r="D21" s="52">
        <v>116</v>
      </c>
      <c r="E21" s="52">
        <v>119.5</v>
      </c>
      <c r="F21" s="4">
        <v>3871707</v>
      </c>
      <c r="G21" s="4">
        <f t="shared" si="0"/>
        <v>476.5</v>
      </c>
      <c r="H21" s="4">
        <f t="shared" si="1"/>
        <v>0</v>
      </c>
      <c r="I21" s="4">
        <f t="shared" si="2"/>
        <v>0</v>
      </c>
      <c r="J21" s="9">
        <f t="shared" si="19"/>
        <v>119</v>
      </c>
      <c r="K21" s="9">
        <f t="shared" si="20"/>
        <v>117.5</v>
      </c>
      <c r="L21" s="6">
        <f t="shared" si="3"/>
        <v>129.67124735729388</v>
      </c>
      <c r="M21" s="6">
        <f t="shared" si="4"/>
        <v>107.17124735729388</v>
      </c>
      <c r="N21" s="13">
        <f aca="true" t="shared" si="59" ref="N21:N26">AVERAGE(L2:L21)</f>
        <v>139.08693194892143</v>
      </c>
      <c r="O21" s="13">
        <f aca="true" t="shared" si="60" ref="O21:O26">AVERAGE(E2:E21)</f>
        <v>128.55</v>
      </c>
      <c r="P21" s="13">
        <f aca="true" t="shared" si="61" ref="P21:P26">AVERAGE(M2:M21)</f>
        <v>119.08693194892143</v>
      </c>
      <c r="Q21" s="1">
        <f t="shared" si="5"/>
        <v>4.5</v>
      </c>
      <c r="R21" s="1">
        <f t="shared" si="6"/>
        <v>2.5</v>
      </c>
      <c r="S21" s="1">
        <f t="shared" si="7"/>
        <v>2</v>
      </c>
      <c r="T21" s="6">
        <f t="shared" si="8"/>
        <v>4.5</v>
      </c>
      <c r="U21" s="6">
        <f t="shared" si="9"/>
        <v>4.5</v>
      </c>
      <c r="V21" s="3">
        <f t="shared" si="10"/>
        <v>2</v>
      </c>
      <c r="W21" s="3">
        <f t="shared" si="11"/>
        <v>1</v>
      </c>
      <c r="X21" s="3">
        <f t="shared" si="12"/>
        <v>2</v>
      </c>
      <c r="Y21" s="3">
        <f t="shared" si="13"/>
        <v>1</v>
      </c>
      <c r="Z21" s="3">
        <f t="shared" si="14"/>
        <v>2</v>
      </c>
      <c r="AA21" s="3">
        <f t="shared" si="15"/>
        <v>0</v>
      </c>
      <c r="AB21" s="30">
        <f t="shared" si="45"/>
        <v>63</v>
      </c>
      <c r="AC21" s="6">
        <f t="shared" si="46"/>
        <v>7</v>
      </c>
      <c r="AD21" s="6">
        <f t="shared" si="47"/>
        <v>17</v>
      </c>
      <c r="AE21" s="16">
        <f t="shared" si="48"/>
        <v>11</v>
      </c>
      <c r="AF21" s="16">
        <f t="shared" si="49"/>
        <v>27</v>
      </c>
      <c r="AG21" s="1">
        <f t="shared" si="50"/>
        <v>16</v>
      </c>
      <c r="AH21" s="1">
        <f t="shared" si="51"/>
        <v>38</v>
      </c>
      <c r="AI21" s="16">
        <f t="shared" si="52"/>
        <v>42</v>
      </c>
      <c r="AM21" s="59">
        <f t="shared" si="41"/>
        <v>10</v>
      </c>
      <c r="AN21" s="58">
        <f>MIN($E$9:E20)+AM20</f>
        <v>128</v>
      </c>
      <c r="AQ21" s="1">
        <f t="shared" si="16"/>
        <v>118.7</v>
      </c>
      <c r="AR21" s="38">
        <f t="shared" si="21"/>
        <v>117.1</v>
      </c>
      <c r="AS21" s="39">
        <f t="shared" si="22"/>
        <v>118.6</v>
      </c>
      <c r="AT21" s="38">
        <f t="shared" si="23"/>
        <v>120.1</v>
      </c>
      <c r="AU21" s="39">
        <f t="shared" si="24"/>
        <v>115.6</v>
      </c>
      <c r="AV21" s="1">
        <f t="shared" si="25"/>
        <v>1</v>
      </c>
      <c r="AW21" s="1">
        <f t="shared" si="26"/>
        <v>0</v>
      </c>
      <c r="AX21" s="1">
        <f t="shared" si="27"/>
        <v>117</v>
      </c>
      <c r="AY21" s="1">
        <f t="shared" si="40"/>
        <v>122.5</v>
      </c>
      <c r="AZ21" s="78" t="s">
        <v>76</v>
      </c>
      <c r="BB21" s="41">
        <f t="shared" si="42"/>
        <v>126.74457969314301</v>
      </c>
      <c r="BC21" s="3">
        <f>MIN($D$7:D21)</f>
        <v>116</v>
      </c>
      <c r="BD21" s="3">
        <f t="shared" si="43"/>
        <v>10.74457969314301</v>
      </c>
      <c r="BE21" s="3">
        <f>MIN(IF(MIN($D$7:D21)&lt;MIN($D$7:D20),BE20+0.02,BE20),0.2)</f>
        <v>0.19999999999999998</v>
      </c>
      <c r="BF21" s="3">
        <f t="shared" si="44"/>
        <v>2.1489159386286016</v>
      </c>
      <c r="BJ21" s="5">
        <f t="shared" si="28"/>
        <v>1.5</v>
      </c>
      <c r="BK21" s="5">
        <f t="shared" si="29"/>
        <v>0</v>
      </c>
      <c r="BL21" s="3">
        <f t="shared" si="53"/>
        <v>0.39285714285714285</v>
      </c>
      <c r="BM21" s="3">
        <f t="shared" si="54"/>
        <v>1.7857142857142858</v>
      </c>
      <c r="BN21" s="30">
        <f t="shared" si="55"/>
        <v>18.032786885245898</v>
      </c>
      <c r="BO21" s="21">
        <f>AVERAGE(E2:E21)+2*STDEVP(E2:E21)</f>
        <v>143.0582735016955</v>
      </c>
      <c r="BP21" s="21">
        <f>AVERAGE(E2:E21)</f>
        <v>128.55</v>
      </c>
      <c r="BQ21" s="21">
        <f>AVERAGE(E2:E21)-2*STDEVP(E2:E21)</f>
        <v>114.0417264983045</v>
      </c>
      <c r="BR21" s="20"/>
      <c r="BS21" s="22"/>
      <c r="BT21" s="22"/>
      <c r="BU21" s="6">
        <f t="shared" si="17"/>
        <v>2150948.3333333335</v>
      </c>
      <c r="BV21" s="6">
        <f t="shared" si="18"/>
        <v>860379.3333333333</v>
      </c>
      <c r="BW21" s="6">
        <f t="shared" si="30"/>
        <v>3.8717036243736476</v>
      </c>
      <c r="BX21" s="25">
        <f t="shared" si="56"/>
        <v>-1511230.5535274246</v>
      </c>
      <c r="BY21" s="25">
        <f t="shared" si="57"/>
        <v>-1316483.4737268686</v>
      </c>
      <c r="BZ21" s="26">
        <f t="shared" si="58"/>
        <v>-2.191478416047437</v>
      </c>
      <c r="CA21" s="33">
        <f aca="true" t="shared" si="62" ref="CA21:CA54">AVERAGE(E19:E21)/AVERAGE(E3:E9)</f>
        <v>0.8742336661411806</v>
      </c>
      <c r="CB21" s="27">
        <f aca="true" t="shared" si="63" ref="CB21:CB54">AVERAGE(F19:F21)/AVERAGE(F3:F9)</f>
        <v>0.6828987634002129</v>
      </c>
      <c r="CC21" s="66">
        <f t="shared" si="31"/>
        <v>117.83333333333333</v>
      </c>
      <c r="CD21" s="56">
        <f t="shared" si="32"/>
        <v>117.16666666666666</v>
      </c>
      <c r="CE21" s="66">
        <f t="shared" si="33"/>
        <v>118.66666666666666</v>
      </c>
      <c r="CF21" s="56">
        <f t="shared" si="34"/>
        <v>116.33333333333334</v>
      </c>
      <c r="CG21" s="66">
        <f t="shared" si="35"/>
        <v>119.33333333333333</v>
      </c>
      <c r="CH21" s="56">
        <f t="shared" si="36"/>
        <v>115.66666666666667</v>
      </c>
      <c r="CI21" s="66">
        <f t="shared" si="37"/>
        <v>120</v>
      </c>
      <c r="CJ21" s="56">
        <f t="shared" si="38"/>
        <v>114.83333333333334</v>
      </c>
      <c r="CK21" s="66">
        <f t="shared" si="39"/>
        <v>120.83333333333331</v>
      </c>
      <c r="CL21" s="84">
        <f>PERCENTILE((E2:E21),0.975)</f>
        <v>140.025</v>
      </c>
      <c r="CM21" s="84">
        <f>MEDIAN(E2:E21)</f>
        <v>126.25</v>
      </c>
      <c r="CN21" s="84">
        <f>PERCENTILE((E2:E21),0.025)</f>
        <v>118.475</v>
      </c>
      <c r="CO21" s="3">
        <f>KURT(E2:E21)-3</f>
        <v>-4.234611896098356</v>
      </c>
      <c r="CP21" s="3">
        <f>SKEW(E2:E21)</f>
        <v>0.3670221704498231</v>
      </c>
      <c r="CQ21" s="3">
        <f>(20/6)*((CP21*CP21)+((1/4)*CO21*CO21))</f>
        <v>15.392299170820424</v>
      </c>
      <c r="CR21">
        <f>CHIDIST(CQ21,2)</f>
        <v>0.000454574116348116</v>
      </c>
      <c r="CS21" s="3">
        <f>CHIINV(CR21,2)</f>
        <v>15.392791829071939</v>
      </c>
    </row>
    <row r="22" spans="1:97" ht="12.75">
      <c r="A22" s="83">
        <v>37893</v>
      </c>
      <c r="B22" s="52">
        <v>122</v>
      </c>
      <c r="C22" s="52">
        <v>124.5</v>
      </c>
      <c r="D22" s="52">
        <v>120.5</v>
      </c>
      <c r="E22" s="52">
        <v>121</v>
      </c>
      <c r="F22" s="4">
        <v>2595585</v>
      </c>
      <c r="G22" s="4">
        <f t="shared" si="0"/>
        <v>0</v>
      </c>
      <c r="H22" s="4">
        <f t="shared" si="1"/>
        <v>486.5</v>
      </c>
      <c r="I22" s="4">
        <f t="shared" si="2"/>
        <v>0</v>
      </c>
      <c r="J22" s="9">
        <f t="shared" si="19"/>
        <v>122.25</v>
      </c>
      <c r="K22" s="9">
        <f t="shared" si="20"/>
        <v>117.75</v>
      </c>
      <c r="L22" s="6">
        <f t="shared" si="3"/>
        <v>132.63061224489795</v>
      </c>
      <c r="M22" s="6">
        <f t="shared" si="4"/>
        <v>112.63061224489796</v>
      </c>
      <c r="N22" s="13">
        <f t="shared" si="59"/>
        <v>138.51619395862548</v>
      </c>
      <c r="O22" s="13">
        <f t="shared" si="60"/>
        <v>127.725</v>
      </c>
      <c r="P22" s="13">
        <f t="shared" si="61"/>
        <v>118.14119395862546</v>
      </c>
      <c r="Q22" s="1">
        <f t="shared" si="5"/>
        <v>4</v>
      </c>
      <c r="R22" s="1">
        <f t="shared" si="6"/>
        <v>5</v>
      </c>
      <c r="S22" s="1">
        <f t="shared" si="7"/>
        <v>1</v>
      </c>
      <c r="T22" s="6">
        <f t="shared" si="8"/>
        <v>5</v>
      </c>
      <c r="U22" s="6">
        <f t="shared" si="9"/>
        <v>5</v>
      </c>
      <c r="V22" s="3">
        <f t="shared" si="10"/>
        <v>4</v>
      </c>
      <c r="W22" s="3">
        <f t="shared" si="11"/>
        <v>0</v>
      </c>
      <c r="X22" s="3">
        <f t="shared" si="12"/>
        <v>4</v>
      </c>
      <c r="Y22" s="3">
        <f t="shared" si="13"/>
        <v>0</v>
      </c>
      <c r="Z22" s="3">
        <f t="shared" si="14"/>
        <v>4</v>
      </c>
      <c r="AA22" s="3">
        <f t="shared" si="15"/>
        <v>0</v>
      </c>
      <c r="AB22" s="30">
        <f t="shared" si="45"/>
        <v>55</v>
      </c>
      <c r="AC22" s="6">
        <f t="shared" si="46"/>
        <v>11</v>
      </c>
      <c r="AD22" s="6">
        <f t="shared" si="47"/>
        <v>17</v>
      </c>
      <c r="AE22" s="16">
        <f t="shared" si="48"/>
        <v>20</v>
      </c>
      <c r="AF22" s="16">
        <f t="shared" si="49"/>
        <v>31</v>
      </c>
      <c r="AG22" s="1">
        <f t="shared" si="50"/>
        <v>11</v>
      </c>
      <c r="AH22" s="1">
        <f t="shared" si="51"/>
        <v>51</v>
      </c>
      <c r="AI22" s="16">
        <f t="shared" si="52"/>
        <v>22</v>
      </c>
      <c r="AM22" s="59">
        <f t="shared" si="41"/>
        <v>11</v>
      </c>
      <c r="AN22" s="58">
        <f>MIN($E$9:E21)+AM21</f>
        <v>128</v>
      </c>
      <c r="AQ22" s="1">
        <f t="shared" si="16"/>
        <v>122</v>
      </c>
      <c r="AR22" s="38">
        <f t="shared" si="21"/>
        <v>116.9</v>
      </c>
      <c r="AS22" s="39">
        <f t="shared" si="22"/>
        <v>121.4</v>
      </c>
      <c r="AT22" s="38">
        <f t="shared" si="23"/>
        <v>125.9</v>
      </c>
      <c r="AU22" s="39">
        <f t="shared" si="24"/>
        <v>112.4</v>
      </c>
      <c r="AV22" s="1">
        <f t="shared" si="25"/>
        <v>0</v>
      </c>
      <c r="AW22" s="1">
        <f t="shared" si="26"/>
        <v>0</v>
      </c>
      <c r="AX22" s="1">
        <f t="shared" si="27"/>
        <v>116</v>
      </c>
      <c r="AY22" s="1">
        <f t="shared" si="40"/>
        <v>120.5</v>
      </c>
      <c r="AZ22" s="73" t="s">
        <v>186</v>
      </c>
      <c r="BB22" s="41">
        <f t="shared" si="42"/>
        <v>124.5956637545144</v>
      </c>
      <c r="BC22" s="3">
        <f>MIN($D$7:D22)</f>
        <v>116</v>
      </c>
      <c r="BD22" s="3">
        <f t="shared" si="43"/>
        <v>8.595663754514405</v>
      </c>
      <c r="BE22" s="3">
        <f>MIN(IF(MIN($D$7:D22)&lt;MIN($D$7:D21),BE21+0.02,BE21),0.2)</f>
        <v>0.19999999999999998</v>
      </c>
      <c r="BF22" s="3">
        <f t="shared" si="44"/>
        <v>1.7191327509028809</v>
      </c>
      <c r="BH22" s="3">
        <v>124.5</v>
      </c>
      <c r="BI22" s="1">
        <v>14.5</v>
      </c>
      <c r="BJ22" s="5">
        <f t="shared" si="28"/>
        <v>1.5</v>
      </c>
      <c r="BK22" s="5">
        <f t="shared" si="29"/>
        <v>0</v>
      </c>
      <c r="BL22" s="3">
        <f t="shared" si="53"/>
        <v>0.5</v>
      </c>
      <c r="BM22" s="3">
        <f t="shared" si="54"/>
        <v>1.2857142857142858</v>
      </c>
      <c r="BN22" s="30">
        <f t="shared" si="55"/>
        <v>28</v>
      </c>
      <c r="BO22" s="21">
        <f aca="true" t="shared" si="64" ref="BO22:BO51">AVERAGE(E3:E22)+2*STDEVP(E3:E22)</f>
        <v>141.97798214409883</v>
      </c>
      <c r="BP22" s="21">
        <f aca="true" t="shared" si="65" ref="BP22:BP51">AVERAGE(E3:E22)</f>
        <v>127.725</v>
      </c>
      <c r="BQ22" s="21">
        <f aca="true" t="shared" si="66" ref="BQ22:BQ51">AVERAGE(E3:E22)-2*STDEVP(E3:E22)</f>
        <v>113.47201785590117</v>
      </c>
      <c r="BR22" s="19"/>
      <c r="BS22" s="21">
        <f>(BO22-BQ22)/BP22</f>
        <v>0.22318233930865267</v>
      </c>
      <c r="BT22" s="21">
        <f>(E22-BQ22)/(BO22-BQ22)</f>
        <v>0.26408445853612617</v>
      </c>
      <c r="BU22" s="6">
        <f t="shared" si="17"/>
        <v>-1946688.75</v>
      </c>
      <c r="BV22" s="6">
        <f t="shared" si="18"/>
        <v>-648896.25</v>
      </c>
      <c r="BW22" s="6">
        <f t="shared" si="30"/>
        <v>2.595588871703624</v>
      </c>
      <c r="BX22" s="25">
        <f t="shared" si="56"/>
        <v>-1047359.6620439084</v>
      </c>
      <c r="BY22" s="25">
        <f t="shared" si="57"/>
        <v>-759913.1179576376</v>
      </c>
      <c r="BZ22" s="26">
        <f t="shared" si="58"/>
        <v>-1.1351949057641304</v>
      </c>
      <c r="CA22" s="33">
        <f t="shared" si="62"/>
        <v>0.8908413205537806</v>
      </c>
      <c r="CB22" s="27">
        <f t="shared" si="63"/>
        <v>0.6401340468119565</v>
      </c>
      <c r="CC22" s="66">
        <f t="shared" si="31"/>
        <v>118.66666666666667</v>
      </c>
      <c r="CD22" s="56">
        <f t="shared" si="32"/>
        <v>116.83333333333334</v>
      </c>
      <c r="CE22" s="66">
        <f t="shared" si="33"/>
        <v>121.33333333333334</v>
      </c>
      <c r="CF22" s="56">
        <f t="shared" si="34"/>
        <v>114.16666666666666</v>
      </c>
      <c r="CG22" s="66">
        <f t="shared" si="35"/>
        <v>123.16666666666667</v>
      </c>
      <c r="CH22" s="56">
        <f t="shared" si="36"/>
        <v>112.33333333333333</v>
      </c>
      <c r="CI22" s="66">
        <f t="shared" si="37"/>
        <v>125</v>
      </c>
      <c r="CJ22" s="56">
        <f t="shared" si="38"/>
        <v>109.66666666666666</v>
      </c>
      <c r="CK22" s="66">
        <f t="shared" si="39"/>
        <v>127.66666666666669</v>
      </c>
      <c r="CL22" s="84">
        <f aca="true" t="shared" si="67" ref="CL22:CL80">PERCENTILE((E3:E22),0.975)</f>
        <v>140.025</v>
      </c>
      <c r="CM22" s="84">
        <f aca="true" t="shared" si="68" ref="CM22:CM80">MEDIAN(E3:E22)</f>
        <v>126</v>
      </c>
      <c r="CN22" s="84">
        <f aca="true" t="shared" si="69" ref="CN22:CN80">PERCENTILE((E3:E22),0.025)</f>
        <v>118.475</v>
      </c>
      <c r="CO22" s="3">
        <f aca="true" t="shared" si="70" ref="CO22:CO80">KURT(E3:E22)-3</f>
        <v>-3.919389115942188</v>
      </c>
      <c r="CP22" s="3">
        <f aca="true" t="shared" si="71" ref="CP22:CP80">SKEW(E3:E22)</f>
        <v>0.5932466641075976</v>
      </c>
      <c r="CQ22" s="3">
        <f aca="true" t="shared" si="72" ref="CQ22:CQ80">(20/6)*((CP22*CP22)+((1/4)*CO22*CO22))</f>
        <v>13.974481216721049</v>
      </c>
      <c r="CR22">
        <f aca="true" t="shared" si="73" ref="CR22:CR80">CHIDIST(CQ22,2)</f>
        <v>0.0009235915695701852</v>
      </c>
      <c r="CS22" s="3">
        <f aca="true" t="shared" si="74" ref="CS22:CS80">CHIINV(CR22,2)</f>
        <v>13.973894112950802</v>
      </c>
    </row>
    <row r="23" spans="1:97" ht="12.75">
      <c r="A23" s="83">
        <v>37894</v>
      </c>
      <c r="B23" s="53">
        <v>121.5</v>
      </c>
      <c r="C23" s="53">
        <v>122</v>
      </c>
      <c r="D23" s="52">
        <v>118.5</v>
      </c>
      <c r="E23" s="52">
        <v>120.5</v>
      </c>
      <c r="F23" s="4">
        <v>3181700</v>
      </c>
      <c r="G23" s="4">
        <f t="shared" si="0"/>
        <v>0</v>
      </c>
      <c r="H23" s="4">
        <f t="shared" si="1"/>
        <v>479.5</v>
      </c>
      <c r="I23" s="4">
        <f t="shared" si="2"/>
        <v>0</v>
      </c>
      <c r="J23" s="9">
        <f t="shared" si="19"/>
        <v>122.75</v>
      </c>
      <c r="K23" s="9">
        <f t="shared" si="20"/>
        <v>118.75</v>
      </c>
      <c r="L23" s="6">
        <f t="shared" si="3"/>
        <v>129.1018711018711</v>
      </c>
      <c r="M23" s="6">
        <f t="shared" si="4"/>
        <v>111.6018711018711</v>
      </c>
      <c r="N23" s="13">
        <f t="shared" si="59"/>
        <v>137.76799081042233</v>
      </c>
      <c r="O23" s="13">
        <f t="shared" si="60"/>
        <v>126.9</v>
      </c>
      <c r="P23" s="13">
        <f t="shared" si="61"/>
        <v>117.26799081042236</v>
      </c>
      <c r="Q23" s="1">
        <f t="shared" si="5"/>
        <v>3.5</v>
      </c>
      <c r="R23" s="1">
        <f t="shared" si="6"/>
        <v>1</v>
      </c>
      <c r="S23" s="1">
        <f t="shared" si="7"/>
        <v>2.5</v>
      </c>
      <c r="T23" s="6">
        <f t="shared" si="8"/>
        <v>3.5</v>
      </c>
      <c r="U23" s="6">
        <f t="shared" si="9"/>
        <v>3.5</v>
      </c>
      <c r="V23" s="3">
        <f t="shared" si="10"/>
        <v>0</v>
      </c>
      <c r="W23" s="3">
        <f t="shared" si="11"/>
        <v>2</v>
      </c>
      <c r="X23" s="3">
        <f t="shared" si="12"/>
        <v>0</v>
      </c>
      <c r="Y23" s="3">
        <f t="shared" si="13"/>
        <v>2</v>
      </c>
      <c r="Z23" s="3">
        <f t="shared" si="14"/>
        <v>0</v>
      </c>
      <c r="AA23" s="3">
        <f t="shared" si="15"/>
        <v>2</v>
      </c>
      <c r="AB23" s="30">
        <f t="shared" si="45"/>
        <v>51.5</v>
      </c>
      <c r="AC23" s="6">
        <f t="shared" si="46"/>
        <v>11</v>
      </c>
      <c r="AD23" s="6">
        <f t="shared" si="47"/>
        <v>14</v>
      </c>
      <c r="AE23" s="16">
        <f t="shared" si="48"/>
        <v>21</v>
      </c>
      <c r="AF23" s="16">
        <f t="shared" si="49"/>
        <v>27</v>
      </c>
      <c r="AG23" s="1">
        <f t="shared" si="50"/>
        <v>6</v>
      </c>
      <c r="AH23" s="1">
        <f t="shared" si="51"/>
        <v>48</v>
      </c>
      <c r="AI23" s="16">
        <f t="shared" si="52"/>
        <v>13</v>
      </c>
      <c r="AM23" s="59">
        <f t="shared" si="41"/>
        <v>11</v>
      </c>
      <c r="AN23" s="58">
        <f>MIN($E$9:E22)+AM22</f>
        <v>129</v>
      </c>
      <c r="AQ23" s="1">
        <f t="shared" si="16"/>
        <v>120.3</v>
      </c>
      <c r="AR23" s="38">
        <f t="shared" si="21"/>
        <v>119.5</v>
      </c>
      <c r="AS23" s="39">
        <f t="shared" si="22"/>
        <v>123.5</v>
      </c>
      <c r="AT23" s="38">
        <f t="shared" si="23"/>
        <v>127.5</v>
      </c>
      <c r="AU23" s="39">
        <f t="shared" si="24"/>
        <v>115.5</v>
      </c>
      <c r="AV23" s="1">
        <f t="shared" si="25"/>
        <v>0</v>
      </c>
      <c r="AW23" s="1">
        <f t="shared" si="26"/>
        <v>0</v>
      </c>
      <c r="AX23" s="1">
        <f t="shared" si="27"/>
        <v>116</v>
      </c>
      <c r="AY23" s="1">
        <f t="shared" si="40"/>
        <v>124.5</v>
      </c>
      <c r="AZ23" s="75" t="s">
        <v>77</v>
      </c>
      <c r="BB23" s="36">
        <f>MIN($D$7:D23)</f>
        <v>116</v>
      </c>
      <c r="BC23" s="3">
        <f>C23</f>
        <v>122</v>
      </c>
      <c r="BD23" s="3">
        <f>BC23-BB23</f>
        <v>6</v>
      </c>
      <c r="BE23" s="8">
        <v>0.02</v>
      </c>
      <c r="BF23" s="3">
        <f>BE23*BD23</f>
        <v>0.12</v>
      </c>
      <c r="BG23" s="8">
        <v>120.5</v>
      </c>
      <c r="BJ23" s="5">
        <f t="shared" si="28"/>
        <v>0</v>
      </c>
      <c r="BK23" s="5">
        <f t="shared" si="29"/>
        <v>0.5</v>
      </c>
      <c r="BL23" s="3">
        <f t="shared" si="53"/>
        <v>0.5</v>
      </c>
      <c r="BM23" s="3">
        <f t="shared" si="54"/>
        <v>0.8928571428571429</v>
      </c>
      <c r="BN23" s="30">
        <f t="shared" si="55"/>
        <v>35.8974358974359</v>
      </c>
      <c r="BO23" s="21">
        <f t="shared" si="64"/>
        <v>140.81617763611834</v>
      </c>
      <c r="BP23" s="21">
        <f t="shared" si="65"/>
        <v>126.9</v>
      </c>
      <c r="BQ23" s="21">
        <f t="shared" si="66"/>
        <v>112.98382236388167</v>
      </c>
      <c r="BR23" s="19"/>
      <c r="BS23" s="21">
        <f aca="true" t="shared" si="75" ref="BS23:BS51">(BO23-BQ23)/BP23</f>
        <v>0.2193251006480431</v>
      </c>
      <c r="BT23" s="21">
        <f aca="true" t="shared" si="76" ref="BT23:BT51">(E23-BQ23)/(BO23-BQ23)</f>
        <v>0.27005179987824696</v>
      </c>
      <c r="BU23" s="6">
        <f t="shared" si="17"/>
        <v>454528.5714285714</v>
      </c>
      <c r="BV23" s="6">
        <f t="shared" si="18"/>
        <v>-909057.1428571428</v>
      </c>
      <c r="BW23" s="6">
        <f t="shared" si="30"/>
        <v>-3.1816974044111284</v>
      </c>
      <c r="BX23" s="25">
        <f t="shared" si="56"/>
        <v>-769014.3212275819</v>
      </c>
      <c r="BY23" s="25">
        <f t="shared" si="57"/>
        <v>-497007.08530457644</v>
      </c>
      <c r="BZ23" s="26">
        <f t="shared" si="58"/>
        <v>-0.9526597780520489</v>
      </c>
      <c r="CA23" s="33">
        <f t="shared" si="62"/>
        <v>0.9116161616161615</v>
      </c>
      <c r="CB23" s="27">
        <f t="shared" si="63"/>
        <v>0.6326809116892379</v>
      </c>
      <c r="CC23" s="66">
        <f t="shared" si="31"/>
        <v>122</v>
      </c>
      <c r="CD23" s="56">
        <f t="shared" si="32"/>
        <v>119.5</v>
      </c>
      <c r="CE23" s="66">
        <f t="shared" si="33"/>
        <v>123.5</v>
      </c>
      <c r="CF23" s="56">
        <f t="shared" si="34"/>
        <v>118</v>
      </c>
      <c r="CG23" s="66">
        <f t="shared" si="35"/>
        <v>126</v>
      </c>
      <c r="CH23" s="56">
        <f t="shared" si="36"/>
        <v>115.5</v>
      </c>
      <c r="CI23" s="66">
        <f t="shared" si="37"/>
        <v>128.5</v>
      </c>
      <c r="CJ23" s="56">
        <f t="shared" si="38"/>
        <v>114</v>
      </c>
      <c r="CK23" s="66">
        <f t="shared" si="39"/>
        <v>130</v>
      </c>
      <c r="CL23" s="84">
        <f t="shared" si="67"/>
        <v>140.025</v>
      </c>
      <c r="CM23" s="84">
        <f t="shared" si="68"/>
        <v>125.75</v>
      </c>
      <c r="CN23" s="84">
        <f t="shared" si="69"/>
        <v>118.475</v>
      </c>
      <c r="CO23" s="3">
        <f t="shared" si="70"/>
        <v>-3.4195904527483005</v>
      </c>
      <c r="CP23" s="3">
        <f t="shared" si="71"/>
        <v>0.8355193339259159</v>
      </c>
      <c r="CQ23" s="3">
        <f t="shared" si="72"/>
        <v>12.071640911652795</v>
      </c>
      <c r="CR23">
        <f t="shared" si="73"/>
        <v>0.002391533574645853</v>
      </c>
      <c r="CS23" s="3">
        <f t="shared" si="74"/>
        <v>12.071781415967653</v>
      </c>
    </row>
    <row r="24" spans="1:97" ht="12.75">
      <c r="A24" s="83">
        <v>37895</v>
      </c>
      <c r="B24" s="52">
        <v>120</v>
      </c>
      <c r="C24" s="52">
        <v>123</v>
      </c>
      <c r="D24" s="52">
        <v>118</v>
      </c>
      <c r="E24" s="52">
        <v>122.5</v>
      </c>
      <c r="F24" s="4">
        <v>4726170</v>
      </c>
      <c r="G24" s="4">
        <f t="shared" si="0"/>
        <v>486.5</v>
      </c>
      <c r="H24" s="4">
        <f t="shared" si="1"/>
        <v>0</v>
      </c>
      <c r="I24" s="4">
        <f t="shared" si="2"/>
        <v>0</v>
      </c>
      <c r="J24" s="9">
        <f t="shared" si="19"/>
        <v>121.25</v>
      </c>
      <c r="K24" s="9">
        <f t="shared" si="20"/>
        <v>117.75</v>
      </c>
      <c r="L24" s="6">
        <f t="shared" si="3"/>
        <v>133.20746887966803</v>
      </c>
      <c r="M24" s="6">
        <f t="shared" si="4"/>
        <v>108.20746887966804</v>
      </c>
      <c r="N24" s="13">
        <f t="shared" si="59"/>
        <v>137.02516140743063</v>
      </c>
      <c r="O24" s="13">
        <f t="shared" si="60"/>
        <v>126</v>
      </c>
      <c r="P24" s="13">
        <f t="shared" si="61"/>
        <v>116.02516140743064</v>
      </c>
      <c r="Q24" s="1">
        <f t="shared" si="5"/>
        <v>5</v>
      </c>
      <c r="R24" s="1">
        <f t="shared" si="6"/>
        <v>2.5</v>
      </c>
      <c r="S24" s="1">
        <f t="shared" si="7"/>
        <v>2.5</v>
      </c>
      <c r="T24" s="6">
        <f t="shared" si="8"/>
        <v>5</v>
      </c>
      <c r="U24" s="6">
        <f t="shared" si="9"/>
        <v>5</v>
      </c>
      <c r="V24" s="3">
        <f t="shared" si="10"/>
        <v>1</v>
      </c>
      <c r="W24" s="3">
        <f t="shared" si="11"/>
        <v>0.5</v>
      </c>
      <c r="X24" s="3">
        <f t="shared" si="12"/>
        <v>1</v>
      </c>
      <c r="Y24" s="3">
        <f t="shared" si="13"/>
        <v>0.5</v>
      </c>
      <c r="Z24" s="3">
        <f t="shared" si="14"/>
        <v>1</v>
      </c>
      <c r="AA24" s="3">
        <f t="shared" si="15"/>
        <v>0</v>
      </c>
      <c r="AB24" s="30">
        <f t="shared" si="45"/>
        <v>53</v>
      </c>
      <c r="AC24" s="6">
        <f t="shared" si="46"/>
        <v>12</v>
      </c>
      <c r="AD24" s="6">
        <f t="shared" si="47"/>
        <v>13</v>
      </c>
      <c r="AE24" s="16">
        <f t="shared" si="48"/>
        <v>23</v>
      </c>
      <c r="AF24" s="16">
        <f t="shared" si="49"/>
        <v>25</v>
      </c>
      <c r="AG24" s="1">
        <f t="shared" si="50"/>
        <v>2</v>
      </c>
      <c r="AH24" s="1">
        <f t="shared" si="51"/>
        <v>48</v>
      </c>
      <c r="AI24" s="16">
        <f t="shared" si="52"/>
        <v>4</v>
      </c>
      <c r="AM24" s="59">
        <f t="shared" si="41"/>
        <v>11</v>
      </c>
      <c r="AN24" s="58">
        <f>MIN($E$9:E23)+AM23</f>
        <v>129</v>
      </c>
      <c r="AQ24" s="1">
        <f t="shared" si="16"/>
        <v>121.2</v>
      </c>
      <c r="AR24" s="38">
        <f t="shared" si="21"/>
        <v>118.6</v>
      </c>
      <c r="AS24" s="39">
        <f t="shared" si="22"/>
        <v>122.1</v>
      </c>
      <c r="AT24" s="38">
        <f t="shared" si="23"/>
        <v>125.6</v>
      </c>
      <c r="AU24" s="39">
        <f t="shared" si="24"/>
        <v>115.1</v>
      </c>
      <c r="AV24" s="1">
        <f t="shared" si="25"/>
        <v>0</v>
      </c>
      <c r="AW24" s="1">
        <f t="shared" si="26"/>
        <v>0</v>
      </c>
      <c r="AX24" s="1">
        <f t="shared" si="27"/>
        <v>118.5</v>
      </c>
      <c r="AY24" s="1">
        <f t="shared" si="40"/>
        <v>124.5</v>
      </c>
      <c r="AZ24" s="74" t="s">
        <v>76</v>
      </c>
      <c r="BB24" s="41">
        <f>IF(BB23+BF23&gt;MIN(D23,D22),MIN(D23,D22),BB23+BF23)</f>
        <v>116.12</v>
      </c>
      <c r="BC24" s="3">
        <f>MAX($C$23:C24)</f>
        <v>123</v>
      </c>
      <c r="BD24" s="3">
        <f>BC24-BB24</f>
        <v>6.8799999999999955</v>
      </c>
      <c r="BE24" s="3">
        <f>MIN(IF(MAX($C$23:C24)&gt;MAX(C$23:$C23),BE23+0.02,BE23),0.2)</f>
        <v>0.04</v>
      </c>
      <c r="BF24" s="3">
        <f>BE24*BD24</f>
        <v>0.27519999999999983</v>
      </c>
      <c r="BJ24" s="5">
        <f t="shared" si="28"/>
        <v>2</v>
      </c>
      <c r="BK24" s="5">
        <f t="shared" si="29"/>
        <v>0</v>
      </c>
      <c r="BL24" s="3">
        <f t="shared" si="53"/>
        <v>0.6428571428571429</v>
      </c>
      <c r="BM24" s="3">
        <f t="shared" si="54"/>
        <v>0.7857142857142857</v>
      </c>
      <c r="BN24" s="30">
        <f t="shared" si="55"/>
        <v>45.00000000000001</v>
      </c>
      <c r="BO24" s="21">
        <f t="shared" si="64"/>
        <v>138.54192967609052</v>
      </c>
      <c r="BP24" s="21">
        <f t="shared" si="65"/>
        <v>126</v>
      </c>
      <c r="BQ24" s="21">
        <f t="shared" si="66"/>
        <v>113.45807032390948</v>
      </c>
      <c r="BR24" s="19"/>
      <c r="BS24" s="21">
        <f t="shared" si="75"/>
        <v>0.19907824882683361</v>
      </c>
      <c r="BT24" s="21">
        <f t="shared" si="76"/>
        <v>0.36046804238297264</v>
      </c>
      <c r="BU24" s="6">
        <f t="shared" si="17"/>
        <v>3780936</v>
      </c>
      <c r="BV24" s="6">
        <f t="shared" si="18"/>
        <v>2363085</v>
      </c>
      <c r="BW24" s="6">
        <f t="shared" si="30"/>
        <v>4.7261668183025956</v>
      </c>
      <c r="BX24" s="25">
        <f t="shared" si="56"/>
        <v>-286894.8110235003</v>
      </c>
      <c r="BY24" s="25">
        <f t="shared" si="57"/>
        <v>-285804.7689780458</v>
      </c>
      <c r="BZ24" s="26">
        <f t="shared" si="58"/>
        <v>-0.31820230980263536</v>
      </c>
      <c r="CA24" s="33">
        <f t="shared" si="62"/>
        <v>0.9323088181485547</v>
      </c>
      <c r="CB24" s="27">
        <f t="shared" si="63"/>
        <v>0.6912353665073014</v>
      </c>
      <c r="CC24" s="66">
        <f t="shared" si="31"/>
        <v>120.33333333333333</v>
      </c>
      <c r="CD24" s="56">
        <f t="shared" si="32"/>
        <v>118.66666666666666</v>
      </c>
      <c r="CE24" s="66">
        <f t="shared" si="33"/>
        <v>122.16666666666666</v>
      </c>
      <c r="CF24" s="56">
        <f t="shared" si="34"/>
        <v>116.83333333333334</v>
      </c>
      <c r="CG24" s="66">
        <f t="shared" si="35"/>
        <v>123.83333333333333</v>
      </c>
      <c r="CH24" s="56">
        <f t="shared" si="36"/>
        <v>115.16666666666667</v>
      </c>
      <c r="CI24" s="66">
        <f t="shared" si="37"/>
        <v>125.5</v>
      </c>
      <c r="CJ24" s="56">
        <f t="shared" si="38"/>
        <v>113.33333333333334</v>
      </c>
      <c r="CK24" s="66">
        <f t="shared" si="39"/>
        <v>127.33333333333331</v>
      </c>
      <c r="CL24" s="84">
        <f t="shared" si="67"/>
        <v>139.2625</v>
      </c>
      <c r="CM24" s="84">
        <f t="shared" si="68"/>
        <v>125.5</v>
      </c>
      <c r="CN24" s="84">
        <f t="shared" si="69"/>
        <v>118.475</v>
      </c>
      <c r="CO24" s="3">
        <f t="shared" si="70"/>
        <v>-2.680136846607469</v>
      </c>
      <c r="CP24" s="3">
        <f t="shared" si="71"/>
        <v>1.0398053354273644</v>
      </c>
      <c r="CQ24" s="3">
        <f t="shared" si="72"/>
        <v>9.58992838239657</v>
      </c>
      <c r="CR24">
        <f t="shared" si="73"/>
        <v>0.00827129500797578</v>
      </c>
      <c r="CS24" s="3">
        <f t="shared" si="74"/>
        <v>9.58996882775287</v>
      </c>
    </row>
    <row r="25" spans="1:97" ht="12.75">
      <c r="A25" s="83">
        <v>37896</v>
      </c>
      <c r="B25" s="53">
        <v>124</v>
      </c>
      <c r="C25" s="53">
        <v>125</v>
      </c>
      <c r="D25" s="52">
        <v>122.5</v>
      </c>
      <c r="E25" s="52">
        <v>125</v>
      </c>
      <c r="F25" s="4">
        <v>3355033</v>
      </c>
      <c r="G25" s="4">
        <f t="shared" si="0"/>
        <v>497.5</v>
      </c>
      <c r="H25" s="4">
        <f t="shared" si="1"/>
        <v>0</v>
      </c>
      <c r="I25" s="4">
        <f t="shared" si="2"/>
        <v>0</v>
      </c>
      <c r="J25" s="9">
        <f t="shared" si="19"/>
        <v>125.25</v>
      </c>
      <c r="K25" s="9">
        <f t="shared" si="20"/>
        <v>120.25</v>
      </c>
      <c r="L25" s="6">
        <f t="shared" si="3"/>
        <v>130.05050505050505</v>
      </c>
      <c r="M25" s="6">
        <f t="shared" si="4"/>
        <v>117.55050505050505</v>
      </c>
      <c r="N25" s="13">
        <f t="shared" si="59"/>
        <v>136.200458495963</v>
      </c>
      <c r="O25" s="13">
        <f t="shared" si="60"/>
        <v>125.275</v>
      </c>
      <c r="P25" s="13">
        <f t="shared" si="61"/>
        <v>115.20045849596303</v>
      </c>
      <c r="Q25" s="1">
        <f t="shared" si="5"/>
        <v>2.5</v>
      </c>
      <c r="R25" s="1">
        <f t="shared" si="6"/>
        <v>2.5</v>
      </c>
      <c r="S25" s="1">
        <f t="shared" si="7"/>
        <v>0</v>
      </c>
      <c r="T25" s="6">
        <f t="shared" si="8"/>
        <v>2.5</v>
      </c>
      <c r="U25" s="6">
        <f t="shared" si="9"/>
        <v>2.5</v>
      </c>
      <c r="V25" s="3">
        <f t="shared" si="10"/>
        <v>2</v>
      </c>
      <c r="W25" s="3">
        <f t="shared" si="11"/>
        <v>0</v>
      </c>
      <c r="X25" s="3">
        <f t="shared" si="12"/>
        <v>2</v>
      </c>
      <c r="Y25" s="3">
        <f t="shared" si="13"/>
        <v>0</v>
      </c>
      <c r="Z25" s="3">
        <f t="shared" si="14"/>
        <v>2</v>
      </c>
      <c r="AA25" s="3">
        <f t="shared" si="15"/>
        <v>0</v>
      </c>
      <c r="AB25" s="30">
        <f t="shared" si="45"/>
        <v>50</v>
      </c>
      <c r="AC25" s="6">
        <f t="shared" si="46"/>
        <v>12</v>
      </c>
      <c r="AD25" s="6">
        <f t="shared" si="47"/>
        <v>13</v>
      </c>
      <c r="AE25" s="16">
        <f t="shared" si="48"/>
        <v>24</v>
      </c>
      <c r="AF25" s="16">
        <f t="shared" si="49"/>
        <v>26</v>
      </c>
      <c r="AG25" s="1">
        <f t="shared" si="50"/>
        <v>2</v>
      </c>
      <c r="AH25" s="1">
        <f t="shared" si="51"/>
        <v>50</v>
      </c>
      <c r="AI25" s="16">
        <f t="shared" si="52"/>
        <v>4</v>
      </c>
      <c r="AM25" s="59">
        <f t="shared" si="41"/>
        <v>11</v>
      </c>
      <c r="AN25" s="58">
        <f>MIN($E$9:E24)+AM24</f>
        <v>129</v>
      </c>
      <c r="AQ25" s="1">
        <f t="shared" si="16"/>
        <v>124.2</v>
      </c>
      <c r="AR25" s="38">
        <f t="shared" si="21"/>
        <v>119.4</v>
      </c>
      <c r="AS25" s="39">
        <f t="shared" si="22"/>
        <v>124.4</v>
      </c>
      <c r="AT25" s="38">
        <f t="shared" si="23"/>
        <v>129.4</v>
      </c>
      <c r="AU25" s="39">
        <f t="shared" si="24"/>
        <v>114.4</v>
      </c>
      <c r="AV25" s="1">
        <f t="shared" si="25"/>
        <v>0</v>
      </c>
      <c r="AW25" s="1">
        <f t="shared" si="26"/>
        <v>0</v>
      </c>
      <c r="AX25" s="1">
        <f t="shared" si="27"/>
        <v>118</v>
      </c>
      <c r="AY25" s="1">
        <f t="shared" si="40"/>
        <v>123</v>
      </c>
      <c r="AZ25" s="73" t="s">
        <v>186</v>
      </c>
      <c r="BB25" s="41">
        <f aca="true" t="shared" si="77" ref="BB25:BB35">IF(BB24+BF24&gt;MIN(D24,D23),MIN(D24,D23),BB24+BF24)</f>
        <v>116.3952</v>
      </c>
      <c r="BC25" s="3">
        <f>MAX($C$23:C25)</f>
        <v>125</v>
      </c>
      <c r="BD25" s="3">
        <f aca="true" t="shared" si="78" ref="BD25:BD35">BC25-BB25</f>
        <v>8.604799999999997</v>
      </c>
      <c r="BE25" s="3">
        <f>MIN(IF(MAX($C$23:C25)&gt;MAX(C$23:$C24),BE24+0.02,BE24),0.2)</f>
        <v>0.06</v>
      </c>
      <c r="BF25" s="3">
        <f aca="true" t="shared" si="79" ref="BF25:BF35">BE25*BD25</f>
        <v>0.5162879999999999</v>
      </c>
      <c r="BH25" s="3"/>
      <c r="BJ25" s="5">
        <f t="shared" si="28"/>
        <v>2.5</v>
      </c>
      <c r="BK25" s="5">
        <f t="shared" si="29"/>
        <v>0</v>
      </c>
      <c r="BL25" s="3">
        <f t="shared" si="53"/>
        <v>0.75</v>
      </c>
      <c r="BM25" s="3">
        <f t="shared" si="54"/>
        <v>0.7857142857142857</v>
      </c>
      <c r="BN25" s="30">
        <f t="shared" si="55"/>
        <v>48.83720930232558</v>
      </c>
      <c r="BO25" s="21">
        <f t="shared" si="64"/>
        <v>136.18130551561802</v>
      </c>
      <c r="BP25" s="21">
        <f t="shared" si="65"/>
        <v>125.275</v>
      </c>
      <c r="BQ25" s="21">
        <f t="shared" si="66"/>
        <v>114.36869448438199</v>
      </c>
      <c r="BR25" s="19"/>
      <c r="BS25" s="21">
        <f t="shared" si="75"/>
        <v>0.17411782902603098</v>
      </c>
      <c r="BT25" s="21">
        <f t="shared" si="76"/>
        <v>0.48739261431810244</v>
      </c>
      <c r="BU25" s="6">
        <f t="shared" si="17"/>
        <v>3355033</v>
      </c>
      <c r="BV25" s="6">
        <f t="shared" si="18"/>
        <v>1342013.2000000002</v>
      </c>
      <c r="BW25" s="6">
        <f t="shared" si="30"/>
        <v>3.3550377261668185</v>
      </c>
      <c r="BX25" s="25">
        <f t="shared" si="56"/>
        <v>64243.682482993296</v>
      </c>
      <c r="BY25" s="25">
        <f t="shared" si="57"/>
        <v>-123050.71573129257</v>
      </c>
      <c r="BZ25" s="26">
        <f t="shared" si="58"/>
        <v>-0.323841675345167</v>
      </c>
      <c r="CA25" s="33">
        <f t="shared" si="62"/>
        <v>0.9535443272256154</v>
      </c>
      <c r="CB25" s="27">
        <f t="shared" si="63"/>
        <v>0.7688986952006113</v>
      </c>
      <c r="CC25" s="66">
        <f t="shared" si="31"/>
        <v>121.16666666666667</v>
      </c>
      <c r="CD25" s="56">
        <f t="shared" si="32"/>
        <v>119.33333333333334</v>
      </c>
      <c r="CE25" s="66">
        <f t="shared" si="33"/>
        <v>124.33333333333334</v>
      </c>
      <c r="CF25" s="56">
        <f t="shared" si="34"/>
        <v>116.16666666666666</v>
      </c>
      <c r="CG25" s="66">
        <f t="shared" si="35"/>
        <v>126.16666666666667</v>
      </c>
      <c r="CH25" s="56">
        <f t="shared" si="36"/>
        <v>114.33333333333333</v>
      </c>
      <c r="CI25" s="66">
        <f t="shared" si="37"/>
        <v>128</v>
      </c>
      <c r="CJ25" s="56">
        <f t="shared" si="38"/>
        <v>111.16666666666666</v>
      </c>
      <c r="CK25" s="66">
        <f t="shared" si="39"/>
        <v>131.16666666666669</v>
      </c>
      <c r="CL25" s="84">
        <f t="shared" si="67"/>
        <v>138.2875</v>
      </c>
      <c r="CM25" s="84">
        <f t="shared" si="68"/>
        <v>125.25</v>
      </c>
      <c r="CN25" s="84">
        <f t="shared" si="69"/>
        <v>118.475</v>
      </c>
      <c r="CO25" s="3">
        <f t="shared" si="70"/>
        <v>-1.6134108543569603</v>
      </c>
      <c r="CP25" s="3">
        <f t="shared" si="71"/>
        <v>1.193875036745002</v>
      </c>
      <c r="CQ25" s="3">
        <f t="shared" si="72"/>
        <v>6.920370832006979</v>
      </c>
      <c r="CR25">
        <f t="shared" si="73"/>
        <v>0.0314239349790445</v>
      </c>
      <c r="CS25" s="3">
        <f t="shared" si="74"/>
        <v>6.920360841666141</v>
      </c>
    </row>
    <row r="26" spans="1:97" ht="12.75">
      <c r="A26" s="83">
        <v>37897</v>
      </c>
      <c r="B26" s="53">
        <v>127</v>
      </c>
      <c r="C26" s="52">
        <v>132</v>
      </c>
      <c r="D26" s="53">
        <v>126.5</v>
      </c>
      <c r="E26" s="58">
        <v>130.5</v>
      </c>
      <c r="F26" s="4">
        <v>3873064</v>
      </c>
      <c r="G26" s="4">
        <f t="shared" si="0"/>
        <v>521</v>
      </c>
      <c r="H26" s="4">
        <f t="shared" si="1"/>
        <v>0</v>
      </c>
      <c r="I26" s="4">
        <f t="shared" si="2"/>
        <v>0</v>
      </c>
      <c r="J26" s="9">
        <f t="shared" si="19"/>
        <v>126.25</v>
      </c>
      <c r="K26" s="9">
        <f t="shared" si="20"/>
        <v>123.75</v>
      </c>
      <c r="L26" s="6">
        <f t="shared" si="3"/>
        <v>143.23404255319147</v>
      </c>
      <c r="M26" s="6">
        <f t="shared" si="4"/>
        <v>115.73404255319149</v>
      </c>
      <c r="N26" s="13">
        <f t="shared" si="59"/>
        <v>135.9297835744423</v>
      </c>
      <c r="O26" s="13">
        <f t="shared" si="60"/>
        <v>124.925</v>
      </c>
      <c r="P26" s="13">
        <f t="shared" si="61"/>
        <v>114.67978357444228</v>
      </c>
      <c r="Q26" s="1">
        <f t="shared" si="5"/>
        <v>5.5</v>
      </c>
      <c r="R26" s="1">
        <f t="shared" si="6"/>
        <v>7</v>
      </c>
      <c r="S26" s="1">
        <f t="shared" si="7"/>
        <v>1.5</v>
      </c>
      <c r="T26" s="6">
        <f t="shared" si="8"/>
        <v>7</v>
      </c>
      <c r="U26" s="6">
        <f t="shared" si="9"/>
        <v>7</v>
      </c>
      <c r="V26" s="3">
        <f t="shared" si="10"/>
        <v>7</v>
      </c>
      <c r="W26" s="3">
        <f t="shared" si="11"/>
        <v>0</v>
      </c>
      <c r="X26" s="3">
        <f t="shared" si="12"/>
        <v>7</v>
      </c>
      <c r="Y26" s="3">
        <f t="shared" si="13"/>
        <v>0</v>
      </c>
      <c r="Z26" s="3">
        <f t="shared" si="14"/>
        <v>7</v>
      </c>
      <c r="AA26" s="3">
        <f t="shared" si="15"/>
        <v>0</v>
      </c>
      <c r="AB26" s="30">
        <f t="shared" si="45"/>
        <v>54.5</v>
      </c>
      <c r="AC26" s="6">
        <f t="shared" si="46"/>
        <v>19</v>
      </c>
      <c r="AD26" s="6">
        <f t="shared" si="47"/>
        <v>13</v>
      </c>
      <c r="AE26" s="16">
        <f t="shared" si="48"/>
        <v>35</v>
      </c>
      <c r="AF26" s="16">
        <f t="shared" si="49"/>
        <v>24</v>
      </c>
      <c r="AG26" s="1">
        <f t="shared" si="50"/>
        <v>11</v>
      </c>
      <c r="AH26" s="1">
        <f t="shared" si="51"/>
        <v>59</v>
      </c>
      <c r="AI26" s="16">
        <f t="shared" si="52"/>
        <v>19</v>
      </c>
      <c r="AM26" s="59">
        <f t="shared" si="41"/>
        <v>13</v>
      </c>
      <c r="AN26" s="58">
        <f>MIN($E$9:E25)+AM25</f>
        <v>129</v>
      </c>
      <c r="AP26" s="34" t="s">
        <v>125</v>
      </c>
      <c r="AQ26" s="1">
        <f t="shared" si="16"/>
        <v>129.7</v>
      </c>
      <c r="AR26" s="38">
        <f t="shared" si="21"/>
        <v>123.4</v>
      </c>
      <c r="AS26" s="39">
        <f t="shared" si="22"/>
        <v>125.9</v>
      </c>
      <c r="AT26" s="38">
        <f t="shared" si="23"/>
        <v>128.4</v>
      </c>
      <c r="AU26" s="39">
        <f t="shared" si="24"/>
        <v>120.9</v>
      </c>
      <c r="AV26" s="1">
        <f t="shared" si="25"/>
        <v>1</v>
      </c>
      <c r="AW26" s="1">
        <f t="shared" si="26"/>
        <v>0</v>
      </c>
      <c r="AX26" s="1">
        <f t="shared" si="27"/>
        <v>118</v>
      </c>
      <c r="AY26" s="1">
        <f t="shared" si="40"/>
        <v>125</v>
      </c>
      <c r="AZ26" s="75" t="s">
        <v>77</v>
      </c>
      <c r="BB26" s="41">
        <f t="shared" si="77"/>
        <v>116.911488</v>
      </c>
      <c r="BC26" s="3">
        <f>MAX($C$23:C26)</f>
        <v>132</v>
      </c>
      <c r="BD26" s="3">
        <f t="shared" si="78"/>
        <v>15.088511999999994</v>
      </c>
      <c r="BE26" s="3">
        <f>MIN(IF(MAX($C$23:C26)&gt;MAX(C$23:$C25),BE25+0.02,BE25),0.2)</f>
        <v>0.08</v>
      </c>
      <c r="BF26" s="3">
        <f t="shared" si="79"/>
        <v>1.2070809599999996</v>
      </c>
      <c r="BG26" s="8"/>
      <c r="BJ26" s="5">
        <f t="shared" si="28"/>
        <v>5.5</v>
      </c>
      <c r="BK26" s="5">
        <f t="shared" si="29"/>
        <v>0</v>
      </c>
      <c r="BL26" s="3">
        <f t="shared" si="53"/>
        <v>1.0714285714285714</v>
      </c>
      <c r="BM26" s="3">
        <f t="shared" si="54"/>
        <v>0.7857142857142857</v>
      </c>
      <c r="BN26" s="30">
        <f t="shared" si="55"/>
        <v>57.692307692307686</v>
      </c>
      <c r="BO26" s="21">
        <f t="shared" si="64"/>
        <v>134.6217778153364</v>
      </c>
      <c r="BP26" s="21">
        <f t="shared" si="65"/>
        <v>124.925</v>
      </c>
      <c r="BQ26" s="21">
        <f t="shared" si="66"/>
        <v>115.22822218466361</v>
      </c>
      <c r="BR26" s="19"/>
      <c r="BS26" s="21">
        <f t="shared" si="75"/>
        <v>0.15524158999938198</v>
      </c>
      <c r="BT26" s="21">
        <f t="shared" si="76"/>
        <v>0.7874666258302109</v>
      </c>
      <c r="BU26" s="6">
        <f t="shared" si="17"/>
        <v>1760483.6363636362</v>
      </c>
      <c r="BV26" s="6">
        <f t="shared" si="18"/>
        <v>2464677.090909091</v>
      </c>
      <c r="BW26" s="6">
        <f t="shared" si="30"/>
        <v>3.873067355037726</v>
      </c>
      <c r="BX26" s="25">
        <f t="shared" si="56"/>
        <v>226299.12793753872</v>
      </c>
      <c r="BY26" s="25">
        <f t="shared" si="57"/>
        <v>52997.64790507107</v>
      </c>
      <c r="BZ26" s="26">
        <f t="shared" si="58"/>
        <v>-0.22872732384167538</v>
      </c>
      <c r="CA26" s="33">
        <f t="shared" si="62"/>
        <v>0.9943630214205187</v>
      </c>
      <c r="CB26" s="27">
        <f t="shared" si="63"/>
        <v>0.838373011993111</v>
      </c>
      <c r="CC26" s="66">
        <f t="shared" si="31"/>
        <v>124.16666666666667</v>
      </c>
      <c r="CD26" s="56">
        <f t="shared" si="32"/>
        <v>123.33333333333334</v>
      </c>
      <c r="CE26" s="66">
        <f t="shared" si="33"/>
        <v>125.83333333333334</v>
      </c>
      <c r="CF26" s="56">
        <f t="shared" si="34"/>
        <v>121.66666666666666</v>
      </c>
      <c r="CG26" s="66">
        <f t="shared" si="35"/>
        <v>126.66666666666667</v>
      </c>
      <c r="CH26" s="56">
        <f t="shared" si="36"/>
        <v>120.83333333333333</v>
      </c>
      <c r="CI26" s="66">
        <f t="shared" si="37"/>
        <v>127.5</v>
      </c>
      <c r="CJ26" s="56">
        <f t="shared" si="38"/>
        <v>119.16666666666666</v>
      </c>
      <c r="CK26" s="66">
        <f t="shared" si="39"/>
        <v>129.16666666666669</v>
      </c>
      <c r="CL26" s="84">
        <f t="shared" si="67"/>
        <v>135.67499999999998</v>
      </c>
      <c r="CM26" s="84">
        <f t="shared" si="68"/>
        <v>125.25</v>
      </c>
      <c r="CN26" s="84">
        <f t="shared" si="69"/>
        <v>118.475</v>
      </c>
      <c r="CO26" s="3">
        <f t="shared" si="70"/>
        <v>-0.8505853231723091</v>
      </c>
      <c r="CP26" s="3">
        <f t="shared" si="71"/>
        <v>1.1333414763524443</v>
      </c>
      <c r="CQ26" s="3">
        <f t="shared" si="72"/>
        <v>4.884455833399245</v>
      </c>
      <c r="CR26">
        <f t="shared" si="73"/>
        <v>0.0869668805048881</v>
      </c>
      <c r="CS26" s="3">
        <f t="shared" si="74"/>
        <v>4.884451422154266</v>
      </c>
    </row>
    <row r="27" spans="1:97" ht="12.75">
      <c r="A27" s="83">
        <v>37900</v>
      </c>
      <c r="B27" s="53">
        <v>130</v>
      </c>
      <c r="C27" s="53">
        <v>130.5</v>
      </c>
      <c r="D27" s="52">
        <v>128</v>
      </c>
      <c r="E27" s="52">
        <v>129</v>
      </c>
      <c r="F27" s="4">
        <v>1855750</v>
      </c>
      <c r="G27" s="4">
        <f>IF(E27&gt;B27,C27*2+D27+E27,0)</f>
        <v>0</v>
      </c>
      <c r="H27" s="4">
        <f>IF(E27&lt;B27,C27+D27*2+E27,0)</f>
        <v>515.5</v>
      </c>
      <c r="I27" s="4">
        <f>IF(E27=B27,C27+D27+E27*2,0)</f>
        <v>0</v>
      </c>
      <c r="J27" s="9">
        <f t="shared" si="19"/>
        <v>134</v>
      </c>
      <c r="K27" s="9">
        <f t="shared" si="20"/>
        <v>128.5</v>
      </c>
      <c r="L27" s="6">
        <f>C27*(1+2*((((C27-D27)/((C27+D27)/2))*1000)*0.001))</f>
        <v>135.54835589941973</v>
      </c>
      <c r="M27" s="6">
        <f>D27*(1-2*((((C27-D27)/((C27+D27)/2))*1000)*0.001))</f>
        <v>123.04835589941973</v>
      </c>
      <c r="N27" s="13">
        <f aca="true" t="shared" si="80" ref="N27:N45">AVERAGE(L8:L27)</f>
        <v>135.24804386025576</v>
      </c>
      <c r="O27" s="13">
        <f aca="true" t="shared" si="81" ref="O27:O45">AVERAGE(E8:E27)</f>
        <v>124.425</v>
      </c>
      <c r="P27" s="13">
        <f aca="true" t="shared" si="82" ref="P27:P45">AVERAGE(M8:M27)</f>
        <v>114.62304386025578</v>
      </c>
      <c r="Q27" s="1">
        <f>ABS(C27-D27)</f>
        <v>2.5</v>
      </c>
      <c r="R27" s="1">
        <f t="shared" si="6"/>
        <v>0</v>
      </c>
      <c r="S27" s="1">
        <f t="shared" si="7"/>
        <v>2.5</v>
      </c>
      <c r="T27" s="6">
        <f t="shared" si="8"/>
        <v>2.5</v>
      </c>
      <c r="U27" s="6">
        <f t="shared" si="9"/>
        <v>2.5</v>
      </c>
      <c r="V27" s="3">
        <f t="shared" si="10"/>
        <v>0</v>
      </c>
      <c r="W27" s="3">
        <f t="shared" si="11"/>
        <v>0</v>
      </c>
      <c r="X27" s="3">
        <f t="shared" si="12"/>
        <v>0</v>
      </c>
      <c r="Y27" s="3">
        <f t="shared" si="13"/>
        <v>0</v>
      </c>
      <c r="Z27" s="3">
        <f t="shared" si="14"/>
        <v>0</v>
      </c>
      <c r="AA27" s="3">
        <f t="shared" si="15"/>
        <v>0</v>
      </c>
      <c r="AB27" s="30">
        <f t="shared" si="45"/>
        <v>54</v>
      </c>
      <c r="AC27" s="6">
        <f t="shared" si="46"/>
        <v>19</v>
      </c>
      <c r="AD27" s="6">
        <f t="shared" si="47"/>
        <v>12</v>
      </c>
      <c r="AE27" s="16">
        <f t="shared" si="48"/>
        <v>35</v>
      </c>
      <c r="AF27" s="16">
        <f t="shared" si="49"/>
        <v>22</v>
      </c>
      <c r="AG27" s="1">
        <f t="shared" si="50"/>
        <v>13</v>
      </c>
      <c r="AH27" s="1">
        <f t="shared" si="51"/>
        <v>57</v>
      </c>
      <c r="AI27" s="16">
        <f t="shared" si="52"/>
        <v>23</v>
      </c>
      <c r="AM27" s="59">
        <f t="shared" si="41"/>
        <v>13</v>
      </c>
      <c r="AO27" s="58">
        <f>MAX($E$26:E26)-AM26</f>
        <v>117.5</v>
      </c>
      <c r="AQ27" s="1">
        <f t="shared" si="16"/>
        <v>129.2</v>
      </c>
      <c r="AR27" s="38">
        <f t="shared" si="21"/>
        <v>127.4</v>
      </c>
      <c r="AS27" s="39">
        <f t="shared" si="22"/>
        <v>132.9</v>
      </c>
      <c r="AT27" s="38">
        <f t="shared" si="23"/>
        <v>138.4</v>
      </c>
      <c r="AU27" s="39">
        <f t="shared" si="24"/>
        <v>121.9</v>
      </c>
      <c r="AV27" s="1">
        <f t="shared" si="25"/>
        <v>0</v>
      </c>
      <c r="AW27" s="1">
        <f t="shared" si="26"/>
        <v>0</v>
      </c>
      <c r="AX27" s="1">
        <f t="shared" si="27"/>
        <v>122.5</v>
      </c>
      <c r="AY27" s="1">
        <f t="shared" si="40"/>
        <v>132</v>
      </c>
      <c r="AZ27" s="74" t="s">
        <v>76</v>
      </c>
      <c r="BB27" s="41">
        <f t="shared" si="77"/>
        <v>118.11856896</v>
      </c>
      <c r="BC27" s="3">
        <f>MAX($C$23:C27)</f>
        <v>132</v>
      </c>
      <c r="BD27" s="3">
        <f t="shared" si="78"/>
        <v>13.881431039999995</v>
      </c>
      <c r="BE27" s="3">
        <f>MIN(IF(MAX($C$23:C27)&gt;MAX(C$23:$C26),BE26+0.02,BE26),0.2)</f>
        <v>0.08</v>
      </c>
      <c r="BF27" s="3">
        <f t="shared" si="79"/>
        <v>1.1105144831999996</v>
      </c>
      <c r="BJ27" s="5">
        <f t="shared" si="28"/>
        <v>0</v>
      </c>
      <c r="BK27" s="5">
        <f t="shared" si="29"/>
        <v>1.5</v>
      </c>
      <c r="BL27" s="3">
        <f t="shared" si="53"/>
        <v>1.0357142857142858</v>
      </c>
      <c r="BM27" s="3">
        <f t="shared" si="54"/>
        <v>0.8928571428571429</v>
      </c>
      <c r="BN27" s="30">
        <f t="shared" si="55"/>
        <v>53.70370370370371</v>
      </c>
      <c r="BO27" s="21">
        <f t="shared" si="64"/>
        <v>131.95676606115723</v>
      </c>
      <c r="BP27" s="21">
        <f t="shared" si="65"/>
        <v>124.425</v>
      </c>
      <c r="BQ27" s="21">
        <f t="shared" si="66"/>
        <v>116.89323393884276</v>
      </c>
      <c r="BR27" s="19"/>
      <c r="BS27" s="21">
        <f t="shared" si="75"/>
        <v>0.1210651566993327</v>
      </c>
      <c r="BT27" s="21">
        <f t="shared" si="76"/>
        <v>0.8037136285733942</v>
      </c>
      <c r="BU27" s="6">
        <f t="shared" si="17"/>
        <v>-371150</v>
      </c>
      <c r="BV27" s="6">
        <f t="shared" si="18"/>
        <v>-742300</v>
      </c>
      <c r="BW27" s="6">
        <f t="shared" si="30"/>
        <v>-1.855746126932645</v>
      </c>
      <c r="BX27" s="25">
        <f t="shared" si="56"/>
        <v>85983.46127087201</v>
      </c>
      <c r="BY27" s="25">
        <f t="shared" si="57"/>
        <v>-113828.7330473098</v>
      </c>
      <c r="BZ27" s="26">
        <f t="shared" si="58"/>
        <v>-0.5319882287273239</v>
      </c>
      <c r="CA27" s="33">
        <f t="shared" si="62"/>
        <v>1.0171957671957672</v>
      </c>
      <c r="CB27" s="27">
        <f t="shared" si="63"/>
        <v>0.887241234389507</v>
      </c>
      <c r="CC27" s="66">
        <f t="shared" si="31"/>
        <v>129.66666666666666</v>
      </c>
      <c r="CD27" s="56">
        <f t="shared" si="32"/>
        <v>127.33333333333331</v>
      </c>
      <c r="CE27" s="66">
        <f t="shared" si="33"/>
        <v>132.83333333333331</v>
      </c>
      <c r="CF27" s="56">
        <f t="shared" si="34"/>
        <v>124.16666666666669</v>
      </c>
      <c r="CG27" s="66">
        <f t="shared" si="35"/>
        <v>135.16666666666666</v>
      </c>
      <c r="CH27" s="56">
        <f t="shared" si="36"/>
        <v>121.83333333333334</v>
      </c>
      <c r="CI27" s="66">
        <f t="shared" si="37"/>
        <v>137.5</v>
      </c>
      <c r="CJ27" s="56">
        <f t="shared" si="38"/>
        <v>118.66666666666669</v>
      </c>
      <c r="CK27" s="66">
        <f t="shared" si="39"/>
        <v>140.66666666666663</v>
      </c>
      <c r="CL27" s="84">
        <f t="shared" si="67"/>
        <v>131.2875</v>
      </c>
      <c r="CM27" s="84">
        <f t="shared" si="68"/>
        <v>125.25</v>
      </c>
      <c r="CN27" s="84">
        <f t="shared" si="69"/>
        <v>118.475</v>
      </c>
      <c r="CO27" s="3">
        <f t="shared" si="70"/>
        <v>-3.620862949432746</v>
      </c>
      <c r="CP27" s="3">
        <f t="shared" si="71"/>
        <v>0.09398906648508966</v>
      </c>
      <c r="CQ27" s="3">
        <f t="shared" si="72"/>
        <v>10.954986897541465</v>
      </c>
      <c r="CR27">
        <f t="shared" si="73"/>
        <v>0.004179793445038416</v>
      </c>
      <c r="CS27" s="3">
        <f t="shared" si="74"/>
        <v>10.954930756281595</v>
      </c>
    </row>
    <row r="28" spans="1:97" ht="12.75">
      <c r="A28" s="83">
        <v>37901</v>
      </c>
      <c r="B28" s="52">
        <v>127</v>
      </c>
      <c r="C28" s="52">
        <v>128.5</v>
      </c>
      <c r="D28" s="52">
        <v>125.5</v>
      </c>
      <c r="E28" s="52">
        <v>128</v>
      </c>
      <c r="F28" s="4">
        <v>2548067</v>
      </c>
      <c r="G28" s="4">
        <f aca="true" t="shared" si="83" ref="G28:G47">IF(E28&gt;B28,C28*2+D28+E28,0)</f>
        <v>510.5</v>
      </c>
      <c r="H28" s="4">
        <f aca="true" t="shared" si="84" ref="H28:H47">IF(E28&lt;B28,C28+D28*2+E28,0)</f>
        <v>0</v>
      </c>
      <c r="I28" s="4">
        <f aca="true" t="shared" si="85" ref="I28:I47">IF(E28=B28,C28+D28+E28*2,0)</f>
        <v>0</v>
      </c>
      <c r="J28" s="9">
        <f t="shared" si="19"/>
        <v>129.75</v>
      </c>
      <c r="K28" s="9">
        <f t="shared" si="20"/>
        <v>127.25</v>
      </c>
      <c r="L28" s="6">
        <f aca="true" t="shared" si="86" ref="L28:L50">C28*(1+2*((((C28-D28)/((C28+D28)/2))*1000)*0.001))</f>
        <v>134.57086614173227</v>
      </c>
      <c r="M28" s="6">
        <f aca="true" t="shared" si="87" ref="M28:M50">D28*(1-2*((((C28-D28)/((C28+D28)/2))*1000)*0.001))</f>
        <v>119.57086614173228</v>
      </c>
      <c r="N28" s="13">
        <f t="shared" si="80"/>
        <v>133.46468240543763</v>
      </c>
      <c r="O28" s="13">
        <f t="shared" si="81"/>
        <v>124.225</v>
      </c>
      <c r="P28" s="13">
        <f t="shared" si="82"/>
        <v>115.33968240543763</v>
      </c>
      <c r="Q28" s="1">
        <f>ABS(C28-D28)</f>
        <v>3</v>
      </c>
      <c r="R28" s="1">
        <f>ABS(C28-E27)</f>
        <v>0.5</v>
      </c>
      <c r="S28" s="1">
        <f>ABS(D28-E27)</f>
        <v>3.5</v>
      </c>
      <c r="T28" s="6">
        <f>IF(Q28&gt;R28,Q28,R28)</f>
        <v>3</v>
      </c>
      <c r="U28" s="6">
        <f>IF(S28&gt;T28,S28,T28)</f>
        <v>3.5</v>
      </c>
      <c r="V28" s="3">
        <f>IF(C28-C27&gt;=0,C28-C27,0)</f>
        <v>0</v>
      </c>
      <c r="W28" s="3">
        <f>IF(D28&lt;=D27,D27-D28,0)</f>
        <v>2.5</v>
      </c>
      <c r="X28" s="3">
        <f>IF(V28=W28,0,V28)</f>
        <v>0</v>
      </c>
      <c r="Y28" s="3">
        <f>IF(V28=W28,0,W28)</f>
        <v>2.5</v>
      </c>
      <c r="Z28" s="3">
        <f>IF(X28&gt;Y28,X28,0)</f>
        <v>0</v>
      </c>
      <c r="AA28" s="3">
        <f>IF(Y28&gt;X28,Y28,0)</f>
        <v>2.5</v>
      </c>
      <c r="AB28" s="30">
        <f t="shared" si="45"/>
        <v>53</v>
      </c>
      <c r="AC28" s="6">
        <f t="shared" si="46"/>
        <v>17</v>
      </c>
      <c r="AD28" s="6">
        <f t="shared" si="47"/>
        <v>14.5</v>
      </c>
      <c r="AE28" s="16">
        <f t="shared" si="48"/>
        <v>32</v>
      </c>
      <c r="AF28" s="16">
        <f t="shared" si="49"/>
        <v>27</v>
      </c>
      <c r="AG28" s="1">
        <f t="shared" si="50"/>
        <v>5</v>
      </c>
      <c r="AH28" s="1">
        <f t="shared" si="51"/>
        <v>59</v>
      </c>
      <c r="AI28" s="16">
        <f t="shared" si="52"/>
        <v>8</v>
      </c>
      <c r="AM28" s="59">
        <f t="shared" si="41"/>
        <v>12</v>
      </c>
      <c r="AO28" s="58">
        <f>MAX($E$26:E27)-AM27</f>
        <v>117.5</v>
      </c>
      <c r="AQ28" s="1">
        <f t="shared" si="16"/>
        <v>127.3</v>
      </c>
      <c r="AR28" s="38">
        <f t="shared" si="21"/>
        <v>127.9</v>
      </c>
      <c r="AS28" s="39">
        <f t="shared" si="22"/>
        <v>130.4</v>
      </c>
      <c r="AT28" s="38">
        <f t="shared" si="23"/>
        <v>132.9</v>
      </c>
      <c r="AU28" s="39">
        <f t="shared" si="24"/>
        <v>125.4</v>
      </c>
      <c r="AV28" s="1">
        <f t="shared" si="25"/>
        <v>0</v>
      </c>
      <c r="AW28" s="1">
        <f t="shared" si="26"/>
        <v>0</v>
      </c>
      <c r="AX28" s="1">
        <f t="shared" si="27"/>
        <v>126.5</v>
      </c>
      <c r="AY28" s="1">
        <f t="shared" si="40"/>
        <v>132</v>
      </c>
      <c r="AZ28" s="73" t="s">
        <v>186</v>
      </c>
      <c r="BB28" s="41">
        <f t="shared" si="77"/>
        <v>119.22908344320001</v>
      </c>
      <c r="BC28" s="3">
        <f>MAX($C$23:C28)</f>
        <v>132</v>
      </c>
      <c r="BD28" s="3">
        <f t="shared" si="78"/>
        <v>12.770916556799989</v>
      </c>
      <c r="BE28" s="3">
        <f>MIN(IF(MAX($C$23:C28)&gt;MAX(C$23:$C27),BE27+0.02,BE27),0.2)</f>
        <v>0.08</v>
      </c>
      <c r="BF28" s="3">
        <f t="shared" si="79"/>
        <v>1.021673324543999</v>
      </c>
      <c r="BJ28" s="5">
        <f t="shared" si="28"/>
        <v>0</v>
      </c>
      <c r="BK28" s="5">
        <f t="shared" si="29"/>
        <v>1</v>
      </c>
      <c r="BL28" s="3">
        <f t="shared" si="53"/>
        <v>1.0357142857142858</v>
      </c>
      <c r="BM28" s="3">
        <f t="shared" si="54"/>
        <v>0.8571428571428571</v>
      </c>
      <c r="BN28" s="30">
        <f t="shared" si="55"/>
        <v>54.716981132075475</v>
      </c>
      <c r="BO28" s="21">
        <f t="shared" si="64"/>
        <v>131.1277168564269</v>
      </c>
      <c r="BP28" s="21">
        <f t="shared" si="65"/>
        <v>124.225</v>
      </c>
      <c r="BQ28" s="21">
        <f t="shared" si="66"/>
        <v>117.3222831435731</v>
      </c>
      <c r="BR28" s="19"/>
      <c r="BS28" s="21">
        <f t="shared" si="75"/>
        <v>0.11113249114794767</v>
      </c>
      <c r="BT28" s="21">
        <f t="shared" si="76"/>
        <v>0.7734430571699618</v>
      </c>
      <c r="BU28" s="6">
        <f t="shared" si="17"/>
        <v>1698711.3333333333</v>
      </c>
      <c r="BV28" s="6">
        <f t="shared" si="18"/>
        <v>849355.6666666666</v>
      </c>
      <c r="BW28" s="6">
        <f t="shared" si="30"/>
        <v>-2.5480688557461266</v>
      </c>
      <c r="BX28" s="25">
        <f t="shared" si="56"/>
        <v>363963.6517470625</v>
      </c>
      <c r="BY28" s="25">
        <f t="shared" si="57"/>
        <v>81105.5288574521</v>
      </c>
      <c r="BZ28" s="26">
        <f t="shared" si="58"/>
        <v>-0.5125943177025143</v>
      </c>
      <c r="CA28" s="33">
        <f t="shared" si="62"/>
        <v>1.0251322751322751</v>
      </c>
      <c r="CB28" s="27">
        <f t="shared" si="63"/>
        <v>0.9610001558149995</v>
      </c>
      <c r="CC28" s="66">
        <f t="shared" si="31"/>
        <v>129.16666666666666</v>
      </c>
      <c r="CD28" s="56">
        <f t="shared" si="32"/>
        <v>127.83333333333331</v>
      </c>
      <c r="CE28" s="66">
        <f t="shared" si="33"/>
        <v>130.33333333333331</v>
      </c>
      <c r="CF28" s="56">
        <f t="shared" si="34"/>
        <v>126.66666666666669</v>
      </c>
      <c r="CG28" s="66">
        <f t="shared" si="35"/>
        <v>131.66666666666666</v>
      </c>
      <c r="CH28" s="56">
        <f t="shared" si="36"/>
        <v>125.33333333333334</v>
      </c>
      <c r="CI28" s="66">
        <f t="shared" si="37"/>
        <v>133</v>
      </c>
      <c r="CJ28" s="56">
        <f t="shared" si="38"/>
        <v>124.16666666666669</v>
      </c>
      <c r="CK28" s="66">
        <f t="shared" si="39"/>
        <v>134.16666666666663</v>
      </c>
      <c r="CL28" s="84">
        <f t="shared" si="67"/>
        <v>129.7875</v>
      </c>
      <c r="CM28" s="84">
        <f t="shared" si="68"/>
        <v>125.25</v>
      </c>
      <c r="CN28" s="84">
        <f t="shared" si="69"/>
        <v>118.475</v>
      </c>
      <c r="CO28" s="3">
        <f t="shared" si="70"/>
        <v>-3.9229720846094436</v>
      </c>
      <c r="CP28" s="3">
        <f t="shared" si="71"/>
        <v>-0.20173131762120913</v>
      </c>
      <c r="CQ28" s="3">
        <f t="shared" si="72"/>
        <v>12.960410062218102</v>
      </c>
      <c r="CR28">
        <f t="shared" si="73"/>
        <v>0.0015334962327205547</v>
      </c>
      <c r="CS28" s="3">
        <f t="shared" si="74"/>
        <v>12.96009906024409</v>
      </c>
    </row>
    <row r="29" spans="1:97" ht="12.75">
      <c r="A29" s="83">
        <v>37902</v>
      </c>
      <c r="B29" s="53">
        <v>127</v>
      </c>
      <c r="C29" s="52">
        <v>130</v>
      </c>
      <c r="D29" s="53">
        <v>126.5</v>
      </c>
      <c r="E29" s="52">
        <v>128</v>
      </c>
      <c r="F29" s="4">
        <v>2622246</v>
      </c>
      <c r="G29" s="4">
        <f t="shared" si="83"/>
        <v>514.5</v>
      </c>
      <c r="H29" s="4">
        <f t="shared" si="84"/>
        <v>0</v>
      </c>
      <c r="I29" s="4">
        <f t="shared" si="85"/>
        <v>0</v>
      </c>
      <c r="J29" s="9">
        <f t="shared" si="19"/>
        <v>129.75</v>
      </c>
      <c r="K29" s="9">
        <f t="shared" si="20"/>
        <v>126.75</v>
      </c>
      <c r="L29" s="6">
        <f t="shared" si="86"/>
        <v>137.09551656920078</v>
      </c>
      <c r="M29" s="6">
        <f t="shared" si="87"/>
        <v>119.59551656920078</v>
      </c>
      <c r="N29" s="13">
        <f t="shared" si="80"/>
        <v>133.30965431232906</v>
      </c>
      <c r="O29" s="13">
        <f t="shared" si="81"/>
        <v>124.325</v>
      </c>
      <c r="P29" s="13">
        <f t="shared" si="82"/>
        <v>115.55965431232906</v>
      </c>
      <c r="Q29" s="1">
        <f aca="true" t="shared" si="88" ref="Q29:Q49">ABS(C29-D29)</f>
        <v>3.5</v>
      </c>
      <c r="R29" s="1">
        <f aca="true" t="shared" si="89" ref="R29:R49">ABS(C29-E28)</f>
        <v>2</v>
      </c>
      <c r="S29" s="1">
        <f aca="true" t="shared" si="90" ref="S29:S49">ABS(D29-E28)</f>
        <v>1.5</v>
      </c>
      <c r="T29" s="6">
        <f aca="true" t="shared" si="91" ref="T29:T49">IF(Q29&gt;R29,Q29,R29)</f>
        <v>3.5</v>
      </c>
      <c r="U29" s="6">
        <f aca="true" t="shared" si="92" ref="U29:U49">IF(S29&gt;T29,S29,T29)</f>
        <v>3.5</v>
      </c>
      <c r="V29" s="3">
        <f aca="true" t="shared" si="93" ref="V29:V49">IF(C29-C28&gt;0,C29-C28,0)</f>
        <v>1.5</v>
      </c>
      <c r="W29" s="3">
        <f aca="true" t="shared" si="94" ref="W29:W49">IF(D29&lt;D28,D28-D29,0)</f>
        <v>0</v>
      </c>
      <c r="X29" s="3">
        <f aca="true" t="shared" si="95" ref="X29:X49">IF(V29=W29,0,V29)</f>
        <v>1.5</v>
      </c>
      <c r="Y29" s="3">
        <f aca="true" t="shared" si="96" ref="Y29:Y49">IF(V29=W29,0,W29)</f>
        <v>0</v>
      </c>
      <c r="Z29" s="3">
        <f aca="true" t="shared" si="97" ref="Z29:Z49">IF(X29&gt;Y29,X29,0)</f>
        <v>1.5</v>
      </c>
      <c r="AA29" s="3">
        <f aca="true" t="shared" si="98" ref="AA29:AA49">IF(Y29&gt;X29,Y29,0)</f>
        <v>0</v>
      </c>
      <c r="AB29" s="30">
        <f t="shared" si="45"/>
        <v>52.5</v>
      </c>
      <c r="AC29" s="6">
        <f t="shared" si="46"/>
        <v>18.5</v>
      </c>
      <c r="AD29" s="6">
        <f t="shared" si="47"/>
        <v>12.5</v>
      </c>
      <c r="AE29" s="16">
        <f t="shared" si="48"/>
        <v>35</v>
      </c>
      <c r="AF29" s="16">
        <f t="shared" si="49"/>
        <v>24</v>
      </c>
      <c r="AG29" s="1">
        <f t="shared" si="50"/>
        <v>11</v>
      </c>
      <c r="AH29" s="1">
        <f t="shared" si="51"/>
        <v>59</v>
      </c>
      <c r="AI29" s="16">
        <f t="shared" si="52"/>
        <v>19</v>
      </c>
      <c r="AJ29" s="16">
        <f aca="true" t="shared" si="99" ref="AJ29:AJ48">SUM(AI16:AI29)/14</f>
        <v>27.214285714285715</v>
      </c>
      <c r="AM29" s="59">
        <f t="shared" si="41"/>
        <v>12</v>
      </c>
      <c r="AO29" s="58">
        <f>MAX($E$26:E28)-AM28</f>
        <v>118.5</v>
      </c>
      <c r="AQ29" s="1">
        <f t="shared" si="16"/>
        <v>128.2</v>
      </c>
      <c r="AR29" s="38">
        <f t="shared" si="21"/>
        <v>126.1</v>
      </c>
      <c r="AS29" s="39">
        <f t="shared" si="22"/>
        <v>129.1</v>
      </c>
      <c r="AT29" s="38">
        <f t="shared" si="23"/>
        <v>132.1</v>
      </c>
      <c r="AU29" s="39">
        <f t="shared" si="24"/>
        <v>123.1</v>
      </c>
      <c r="AV29" s="1">
        <f t="shared" si="25"/>
        <v>0</v>
      </c>
      <c r="AW29" s="1">
        <f t="shared" si="26"/>
        <v>0</v>
      </c>
      <c r="AX29" s="1">
        <f t="shared" si="27"/>
        <v>125.5</v>
      </c>
      <c r="AY29" s="1">
        <f t="shared" si="40"/>
        <v>130.5</v>
      </c>
      <c r="AZ29" s="75" t="s">
        <v>77</v>
      </c>
      <c r="BB29" s="41">
        <f t="shared" si="77"/>
        <v>120.25075676774401</v>
      </c>
      <c r="BC29" s="3">
        <f>MAX($C$23:C29)</f>
        <v>132</v>
      </c>
      <c r="BD29" s="3">
        <f t="shared" si="78"/>
        <v>11.749243232255992</v>
      </c>
      <c r="BE29" s="3">
        <f>MIN(IF(MAX($C$23:C29)&gt;MAX(C$23:$C28),BE28+0.02,BE28),0.2)</f>
        <v>0.08</v>
      </c>
      <c r="BF29" s="3">
        <f t="shared" si="79"/>
        <v>0.9399394585804793</v>
      </c>
      <c r="BJ29" s="5">
        <f t="shared" si="28"/>
        <v>0</v>
      </c>
      <c r="BK29" s="5">
        <f t="shared" si="29"/>
        <v>0</v>
      </c>
      <c r="BL29" s="3">
        <f t="shared" si="53"/>
        <v>0.9285714285714286</v>
      </c>
      <c r="BM29" s="3">
        <f t="shared" si="54"/>
        <v>0.8571428571428571</v>
      </c>
      <c r="BN29" s="30">
        <f t="shared" si="55"/>
        <v>52</v>
      </c>
      <c r="BO29" s="21">
        <f t="shared" si="64"/>
        <v>131.38385968127997</v>
      </c>
      <c r="BP29" s="21">
        <f t="shared" si="65"/>
        <v>124.325</v>
      </c>
      <c r="BQ29" s="21">
        <f t="shared" si="66"/>
        <v>117.26614031872003</v>
      </c>
      <c r="BR29" s="19"/>
      <c r="BS29" s="21">
        <f t="shared" si="75"/>
        <v>0.1135549516393319</v>
      </c>
      <c r="BT29" s="21">
        <f t="shared" si="76"/>
        <v>0.7603111668125422</v>
      </c>
      <c r="BU29" s="6">
        <f t="shared" si="17"/>
        <v>-374606.5714285714</v>
      </c>
      <c r="BV29" s="6">
        <f t="shared" si="18"/>
        <v>749213.1428571428</v>
      </c>
      <c r="BW29" s="6">
        <f t="shared" si="30"/>
        <v>2.622243451931144</v>
      </c>
      <c r="BX29" s="25">
        <f t="shared" si="56"/>
        <v>136418.53950216458</v>
      </c>
      <c r="BY29" s="25">
        <f t="shared" si="57"/>
        <v>9128.565847248023</v>
      </c>
      <c r="BZ29" s="26">
        <f t="shared" si="58"/>
        <v>-0.5260785125943174</v>
      </c>
      <c r="CA29" s="33">
        <f t="shared" si="62"/>
        <v>1.0202536437630134</v>
      </c>
      <c r="CB29" s="27">
        <f t="shared" si="63"/>
        <v>0.7105222794671348</v>
      </c>
      <c r="CC29" s="66">
        <f t="shared" si="31"/>
        <v>127.33333333333333</v>
      </c>
      <c r="CD29" s="56">
        <f t="shared" si="32"/>
        <v>126.16666666666666</v>
      </c>
      <c r="CE29" s="66">
        <f t="shared" si="33"/>
        <v>129.16666666666666</v>
      </c>
      <c r="CF29" s="56">
        <f t="shared" si="34"/>
        <v>124.33333333333334</v>
      </c>
      <c r="CG29" s="66">
        <f t="shared" si="35"/>
        <v>130.33333333333331</v>
      </c>
      <c r="CH29" s="56">
        <f t="shared" si="36"/>
        <v>123.16666666666669</v>
      </c>
      <c r="CI29" s="66">
        <f t="shared" si="37"/>
        <v>131.5</v>
      </c>
      <c r="CJ29" s="56">
        <f t="shared" si="38"/>
        <v>121.33333333333336</v>
      </c>
      <c r="CK29" s="66">
        <f t="shared" si="39"/>
        <v>133.3333333333333</v>
      </c>
      <c r="CL29" s="84">
        <f t="shared" si="67"/>
        <v>129.7875</v>
      </c>
      <c r="CM29" s="84">
        <f t="shared" si="68"/>
        <v>125.25</v>
      </c>
      <c r="CN29" s="84">
        <f t="shared" si="69"/>
        <v>118.475</v>
      </c>
      <c r="CO29" s="3">
        <f t="shared" si="70"/>
        <v>-4.041814619697004</v>
      </c>
      <c r="CP29" s="3">
        <f t="shared" si="71"/>
        <v>-0.2213469581272796</v>
      </c>
      <c r="CQ29" s="3">
        <f t="shared" si="72"/>
        <v>13.7768694362377</v>
      </c>
      <c r="CR29">
        <f t="shared" si="73"/>
        <v>0.0010195084107798404</v>
      </c>
      <c r="CS29" s="3">
        <f t="shared" si="74"/>
        <v>13.776603736914694</v>
      </c>
    </row>
    <row r="30" spans="1:97" ht="12.75">
      <c r="A30" s="83">
        <v>37903</v>
      </c>
      <c r="B30" s="53">
        <v>128</v>
      </c>
      <c r="C30" s="52">
        <v>132.5</v>
      </c>
      <c r="D30" s="53">
        <v>127.5</v>
      </c>
      <c r="E30" s="52">
        <v>132</v>
      </c>
      <c r="F30" s="4">
        <v>3806854</v>
      </c>
      <c r="G30" s="4">
        <f t="shared" si="83"/>
        <v>524.5</v>
      </c>
      <c r="H30" s="4">
        <f t="shared" si="84"/>
        <v>0</v>
      </c>
      <c r="I30" s="4">
        <f t="shared" si="85"/>
        <v>0</v>
      </c>
      <c r="J30" s="9">
        <f t="shared" si="19"/>
        <v>130.75</v>
      </c>
      <c r="K30" s="9">
        <f t="shared" si="20"/>
        <v>127.25</v>
      </c>
      <c r="L30" s="6">
        <f t="shared" si="86"/>
        <v>142.69230769230768</v>
      </c>
      <c r="M30" s="6">
        <f t="shared" si="87"/>
        <v>117.69230769230768</v>
      </c>
      <c r="N30" s="13">
        <f t="shared" si="80"/>
        <v>133.71439892159648</v>
      </c>
      <c r="O30" s="13">
        <f t="shared" si="81"/>
        <v>124.7</v>
      </c>
      <c r="P30" s="13">
        <f t="shared" si="82"/>
        <v>115.58939892159651</v>
      </c>
      <c r="Q30" s="1">
        <f t="shared" si="88"/>
        <v>5</v>
      </c>
      <c r="R30" s="1">
        <f t="shared" si="89"/>
        <v>4.5</v>
      </c>
      <c r="S30" s="1">
        <f t="shared" si="90"/>
        <v>0.5</v>
      </c>
      <c r="T30" s="6">
        <f t="shared" si="91"/>
        <v>5</v>
      </c>
      <c r="U30" s="6">
        <f t="shared" si="92"/>
        <v>5</v>
      </c>
      <c r="V30" s="3">
        <f t="shared" si="93"/>
        <v>2.5</v>
      </c>
      <c r="W30" s="3">
        <f t="shared" si="94"/>
        <v>0</v>
      </c>
      <c r="X30" s="3">
        <f t="shared" si="95"/>
        <v>2.5</v>
      </c>
      <c r="Y30" s="3">
        <f t="shared" si="96"/>
        <v>0</v>
      </c>
      <c r="Z30" s="3">
        <f t="shared" si="97"/>
        <v>2.5</v>
      </c>
      <c r="AA30" s="3">
        <f t="shared" si="98"/>
        <v>0</v>
      </c>
      <c r="AB30" s="30">
        <f t="shared" si="45"/>
        <v>54.5</v>
      </c>
      <c r="AC30" s="6">
        <f t="shared" si="46"/>
        <v>20</v>
      </c>
      <c r="AD30" s="6">
        <f t="shared" si="47"/>
        <v>12.5</v>
      </c>
      <c r="AE30" s="16">
        <f t="shared" si="48"/>
        <v>37</v>
      </c>
      <c r="AF30" s="16">
        <f t="shared" si="49"/>
        <v>23</v>
      </c>
      <c r="AG30" s="1">
        <f t="shared" si="50"/>
        <v>14</v>
      </c>
      <c r="AH30" s="1">
        <f t="shared" si="51"/>
        <v>60</v>
      </c>
      <c r="AI30" s="16">
        <f t="shared" si="52"/>
        <v>23</v>
      </c>
      <c r="AJ30" s="16">
        <f t="shared" si="99"/>
        <v>27.142857142857142</v>
      </c>
      <c r="AM30" s="59">
        <f t="shared" si="41"/>
        <v>12</v>
      </c>
      <c r="AO30" s="58">
        <f>MAX($E$26:E29)-AM29</f>
        <v>118.5</v>
      </c>
      <c r="AQ30" s="1">
        <f t="shared" si="16"/>
        <v>130.7</v>
      </c>
      <c r="AR30" s="38">
        <f t="shared" si="21"/>
        <v>126.4</v>
      </c>
      <c r="AS30" s="39">
        <f t="shared" si="22"/>
        <v>129.9</v>
      </c>
      <c r="AT30" s="38">
        <f t="shared" si="23"/>
        <v>133.4</v>
      </c>
      <c r="AU30" s="39">
        <f t="shared" si="24"/>
        <v>122.9</v>
      </c>
      <c r="AV30" s="1">
        <f t="shared" si="25"/>
        <v>0</v>
      </c>
      <c r="AW30" s="1">
        <f t="shared" si="26"/>
        <v>0</v>
      </c>
      <c r="AX30" s="1">
        <f t="shared" si="27"/>
        <v>125.5</v>
      </c>
      <c r="AY30" s="1">
        <f t="shared" si="40"/>
        <v>130</v>
      </c>
      <c r="AZ30" s="74" t="s">
        <v>76</v>
      </c>
      <c r="BB30" s="41">
        <f t="shared" si="77"/>
        <v>121.19069622632449</v>
      </c>
      <c r="BC30" s="3">
        <f>MAX($C$23:C30)</f>
        <v>132.5</v>
      </c>
      <c r="BD30" s="3">
        <f t="shared" si="78"/>
        <v>11.30930377367551</v>
      </c>
      <c r="BE30" s="3">
        <f>MIN(IF(MAX($C$23:C30)&gt;MAX(C$23:$C29),BE29+0.02,BE29),0.2)</f>
        <v>0.1</v>
      </c>
      <c r="BF30" s="3">
        <f t="shared" si="79"/>
        <v>1.130930377367551</v>
      </c>
      <c r="BJ30" s="5">
        <f t="shared" si="28"/>
        <v>4</v>
      </c>
      <c r="BK30" s="5">
        <f t="shared" si="29"/>
        <v>0</v>
      </c>
      <c r="BL30" s="3">
        <f t="shared" si="53"/>
        <v>1.2142857142857142</v>
      </c>
      <c r="BM30" s="3">
        <f t="shared" si="54"/>
        <v>0.7857142857142857</v>
      </c>
      <c r="BN30" s="30">
        <f t="shared" si="55"/>
        <v>60.714285714285715</v>
      </c>
      <c r="BO30" s="21">
        <f t="shared" si="64"/>
        <v>132.51280999384986</v>
      </c>
      <c r="BP30" s="21">
        <f t="shared" si="65"/>
        <v>124.7</v>
      </c>
      <c r="BQ30" s="21">
        <f t="shared" si="66"/>
        <v>116.88719000615016</v>
      </c>
      <c r="BR30" s="19"/>
      <c r="BS30" s="21">
        <f t="shared" si="75"/>
        <v>0.1253056935661563</v>
      </c>
      <c r="BT30" s="21">
        <f t="shared" si="76"/>
        <v>0.9671814626073375</v>
      </c>
      <c r="BU30" s="6">
        <f t="shared" si="17"/>
        <v>3045483.2</v>
      </c>
      <c r="BV30" s="6">
        <f t="shared" si="18"/>
        <v>3045483.2</v>
      </c>
      <c r="BW30" s="6">
        <f t="shared" si="30"/>
        <v>3.8068566222434517</v>
      </c>
      <c r="BX30" s="25">
        <f t="shared" si="56"/>
        <v>400245.410930736</v>
      </c>
      <c r="BY30" s="25">
        <f t="shared" si="57"/>
        <v>319247.79441867664</v>
      </c>
      <c r="BZ30" s="26">
        <f t="shared" si="58"/>
        <v>-0.1152833117927982</v>
      </c>
      <c r="CA30" s="33">
        <f t="shared" si="62"/>
        <v>1.0340757662288218</v>
      </c>
      <c r="CB30" s="27">
        <f t="shared" si="63"/>
        <v>0.8495170216716292</v>
      </c>
      <c r="CC30" s="66">
        <f t="shared" si="31"/>
        <v>128.16666666666666</v>
      </c>
      <c r="CD30" s="56">
        <f t="shared" si="32"/>
        <v>126.33333333333331</v>
      </c>
      <c r="CE30" s="66">
        <f t="shared" si="33"/>
        <v>129.83333333333331</v>
      </c>
      <c r="CF30" s="56">
        <f t="shared" si="34"/>
        <v>124.66666666666666</v>
      </c>
      <c r="CG30" s="66">
        <f t="shared" si="35"/>
        <v>131.66666666666666</v>
      </c>
      <c r="CH30" s="56">
        <f t="shared" si="36"/>
        <v>122.83333333333331</v>
      </c>
      <c r="CI30" s="66">
        <f t="shared" si="37"/>
        <v>133.5</v>
      </c>
      <c r="CJ30" s="56">
        <f t="shared" si="38"/>
        <v>121.16666666666666</v>
      </c>
      <c r="CK30" s="66">
        <f t="shared" si="39"/>
        <v>135.16666666666666</v>
      </c>
      <c r="CL30" s="84">
        <f t="shared" si="67"/>
        <v>131.2875</v>
      </c>
      <c r="CM30" s="84">
        <f t="shared" si="68"/>
        <v>125.5</v>
      </c>
      <c r="CN30" s="84">
        <f t="shared" si="69"/>
        <v>118.475</v>
      </c>
      <c r="CO30" s="3">
        <f t="shared" si="70"/>
        <v>-3.945541860376842</v>
      </c>
      <c r="CP30" s="3">
        <f t="shared" si="71"/>
        <v>-0.0654290947905468</v>
      </c>
      <c r="CQ30" s="3">
        <f t="shared" si="72"/>
        <v>12.987020364805328</v>
      </c>
      <c r="CR30">
        <f t="shared" si="73"/>
        <v>0.0015132279684986923</v>
      </c>
      <c r="CS30" s="3">
        <f t="shared" si="74"/>
        <v>12.987028458155692</v>
      </c>
    </row>
    <row r="31" spans="1:97" ht="12.75">
      <c r="A31" s="83">
        <v>37904</v>
      </c>
      <c r="B31" s="52">
        <v>131</v>
      </c>
      <c r="C31" s="52">
        <v>133</v>
      </c>
      <c r="D31" s="52">
        <v>130</v>
      </c>
      <c r="E31" s="52">
        <v>131</v>
      </c>
      <c r="F31" s="4">
        <v>3394264</v>
      </c>
      <c r="G31" s="4">
        <f t="shared" si="83"/>
        <v>0</v>
      </c>
      <c r="H31" s="4">
        <f t="shared" si="84"/>
        <v>0</v>
      </c>
      <c r="I31" s="4">
        <f t="shared" si="85"/>
        <v>525</v>
      </c>
      <c r="J31" s="9">
        <f t="shared" si="19"/>
        <v>134.75</v>
      </c>
      <c r="K31" s="9">
        <f t="shared" si="20"/>
        <v>129.75</v>
      </c>
      <c r="L31" s="6">
        <f t="shared" si="86"/>
        <v>139.06844106463876</v>
      </c>
      <c r="M31" s="6">
        <f t="shared" si="87"/>
        <v>124.06844106463879</v>
      </c>
      <c r="N31" s="13">
        <f t="shared" si="80"/>
        <v>133.63088803597242</v>
      </c>
      <c r="O31" s="13">
        <f t="shared" si="81"/>
        <v>124.975</v>
      </c>
      <c r="P31" s="13">
        <f t="shared" si="82"/>
        <v>116.13088803597243</v>
      </c>
      <c r="Q31" s="1">
        <f t="shared" si="88"/>
        <v>3</v>
      </c>
      <c r="R31" s="1">
        <f t="shared" si="89"/>
        <v>1</v>
      </c>
      <c r="S31" s="1">
        <f t="shared" si="90"/>
        <v>2</v>
      </c>
      <c r="T31" s="6">
        <f t="shared" si="91"/>
        <v>3</v>
      </c>
      <c r="U31" s="6">
        <f t="shared" si="92"/>
        <v>3</v>
      </c>
      <c r="V31" s="3">
        <f t="shared" si="93"/>
        <v>0.5</v>
      </c>
      <c r="W31" s="3">
        <f t="shared" si="94"/>
        <v>0</v>
      </c>
      <c r="X31" s="3">
        <f t="shared" si="95"/>
        <v>0.5</v>
      </c>
      <c r="Y31" s="3">
        <f t="shared" si="96"/>
        <v>0</v>
      </c>
      <c r="Z31" s="3">
        <f t="shared" si="97"/>
        <v>0.5</v>
      </c>
      <c r="AA31" s="3">
        <f t="shared" si="98"/>
        <v>0</v>
      </c>
      <c r="AB31" s="30">
        <f t="shared" si="45"/>
        <v>53.5</v>
      </c>
      <c r="AC31" s="6">
        <f t="shared" si="46"/>
        <v>20.5</v>
      </c>
      <c r="AD31" s="6">
        <f t="shared" si="47"/>
        <v>9.5</v>
      </c>
      <c r="AE31" s="16">
        <f t="shared" si="48"/>
        <v>38</v>
      </c>
      <c r="AF31" s="16">
        <f t="shared" si="49"/>
        <v>18</v>
      </c>
      <c r="AG31" s="1">
        <f t="shared" si="50"/>
        <v>20</v>
      </c>
      <c r="AH31" s="1">
        <f t="shared" si="51"/>
        <v>56</v>
      </c>
      <c r="AI31" s="16">
        <f t="shared" si="52"/>
        <v>36</v>
      </c>
      <c r="AJ31" s="16">
        <f t="shared" si="99"/>
        <v>27.428571428571427</v>
      </c>
      <c r="AM31" s="59">
        <f t="shared" si="41"/>
        <v>12</v>
      </c>
      <c r="AO31" s="58">
        <f>MAX($E$26:E30)-AM30</f>
        <v>120</v>
      </c>
      <c r="AQ31" s="1">
        <f t="shared" si="16"/>
        <v>131.3</v>
      </c>
      <c r="AR31" s="38">
        <f t="shared" si="21"/>
        <v>128.9</v>
      </c>
      <c r="AS31" s="39">
        <f t="shared" si="22"/>
        <v>133.9</v>
      </c>
      <c r="AT31" s="38">
        <f t="shared" si="23"/>
        <v>138.9</v>
      </c>
      <c r="AU31" s="39">
        <f t="shared" si="24"/>
        <v>123.9</v>
      </c>
      <c r="AV31" s="1">
        <f t="shared" si="25"/>
        <v>0</v>
      </c>
      <c r="AW31" s="1">
        <f t="shared" si="26"/>
        <v>0</v>
      </c>
      <c r="AX31" s="1">
        <f t="shared" si="27"/>
        <v>126.5</v>
      </c>
      <c r="AY31" s="1">
        <f t="shared" si="40"/>
        <v>132.5</v>
      </c>
      <c r="AZ31" s="73" t="s">
        <v>186</v>
      </c>
      <c r="BB31" s="41">
        <f t="shared" si="77"/>
        <v>122.32162660369204</v>
      </c>
      <c r="BC31" s="3">
        <f>MAX($C$23:C31)</f>
        <v>133</v>
      </c>
      <c r="BD31" s="3">
        <f t="shared" si="78"/>
        <v>10.678373396307961</v>
      </c>
      <c r="BE31" s="3">
        <f>MIN(IF(MAX($C$23:C31)&gt;MAX(C$23:$C30),BE30+0.02,BE30),0.2)</f>
        <v>0.12000000000000001</v>
      </c>
      <c r="BF31" s="3">
        <f t="shared" si="79"/>
        <v>1.2814048075569555</v>
      </c>
      <c r="BJ31" s="5">
        <f t="shared" si="28"/>
        <v>0</v>
      </c>
      <c r="BK31" s="5">
        <f t="shared" si="29"/>
        <v>1</v>
      </c>
      <c r="BL31" s="3">
        <f t="shared" si="53"/>
        <v>1.2142857142857142</v>
      </c>
      <c r="BM31" s="3">
        <f t="shared" si="54"/>
        <v>0.6428571428571429</v>
      </c>
      <c r="BN31" s="30">
        <f t="shared" si="55"/>
        <v>65.38461538461539</v>
      </c>
      <c r="BO31" s="21">
        <f t="shared" si="64"/>
        <v>133.25434176127547</v>
      </c>
      <c r="BP31" s="21">
        <f t="shared" si="65"/>
        <v>124.975</v>
      </c>
      <c r="BQ31" s="21">
        <f t="shared" si="66"/>
        <v>116.69565823872452</v>
      </c>
      <c r="BR31" s="19"/>
      <c r="BS31" s="21">
        <f t="shared" si="75"/>
        <v>0.1324959673738824</v>
      </c>
      <c r="BT31" s="21">
        <f t="shared" si="76"/>
        <v>0.8638574281460646</v>
      </c>
      <c r="BU31" s="6">
        <f t="shared" si="17"/>
        <v>-1131421.3333333333</v>
      </c>
      <c r="BV31" s="6">
        <f t="shared" si="18"/>
        <v>0</v>
      </c>
      <c r="BW31" s="6">
        <f t="shared" si="30"/>
        <v>-3.3942601931433773</v>
      </c>
      <c r="BX31" s="25">
        <f t="shared" si="56"/>
        <v>489265.91093073605</v>
      </c>
      <c r="BY31" s="25">
        <f t="shared" si="57"/>
        <v>574002.2587043908</v>
      </c>
      <c r="BZ31" s="26">
        <f t="shared" si="58"/>
        <v>0.1517785990024025</v>
      </c>
      <c r="CA31" s="33">
        <f t="shared" si="62"/>
        <v>1.0510752688172045</v>
      </c>
      <c r="CB31" s="27">
        <f t="shared" si="63"/>
        <v>0.8999897074550902</v>
      </c>
      <c r="CC31" s="66">
        <f t="shared" si="31"/>
        <v>130.66666666666666</v>
      </c>
      <c r="CD31" s="56">
        <f t="shared" si="32"/>
        <v>128.83333333333331</v>
      </c>
      <c r="CE31" s="66">
        <f t="shared" si="33"/>
        <v>133.83333333333331</v>
      </c>
      <c r="CF31" s="56">
        <f t="shared" si="34"/>
        <v>125.66666666666669</v>
      </c>
      <c r="CG31" s="66">
        <f t="shared" si="35"/>
        <v>135.66666666666666</v>
      </c>
      <c r="CH31" s="56">
        <f t="shared" si="36"/>
        <v>123.83333333333334</v>
      </c>
      <c r="CI31" s="66">
        <f t="shared" si="37"/>
        <v>137.5</v>
      </c>
      <c r="CJ31" s="56">
        <f t="shared" si="38"/>
        <v>120.66666666666669</v>
      </c>
      <c r="CK31" s="66">
        <f t="shared" si="39"/>
        <v>140.66666666666663</v>
      </c>
      <c r="CL31" s="84">
        <f t="shared" si="67"/>
        <v>131.525</v>
      </c>
      <c r="CM31" s="84">
        <f t="shared" si="68"/>
        <v>125.75</v>
      </c>
      <c r="CN31" s="84">
        <f t="shared" si="69"/>
        <v>118.475</v>
      </c>
      <c r="CO31" s="3">
        <f t="shared" si="70"/>
        <v>-4.141678817630046</v>
      </c>
      <c r="CP31" s="3">
        <f t="shared" si="71"/>
        <v>-0.08065680096705476</v>
      </c>
      <c r="CQ31" s="3">
        <f t="shared" si="72"/>
        <v>14.316271255478643</v>
      </c>
      <c r="CR31">
        <f t="shared" si="73"/>
        <v>0.0007785046235194804</v>
      </c>
      <c r="CS31" s="3">
        <f t="shared" si="74"/>
        <v>14.316347767184823</v>
      </c>
    </row>
    <row r="32" spans="1:97" ht="12.75">
      <c r="A32" s="83">
        <v>37907</v>
      </c>
      <c r="B32" s="52">
        <v>133.5</v>
      </c>
      <c r="C32" s="52">
        <v>134.5</v>
      </c>
      <c r="D32" s="52">
        <v>132</v>
      </c>
      <c r="E32" s="52">
        <v>133</v>
      </c>
      <c r="F32" s="4">
        <v>2452933</v>
      </c>
      <c r="G32" s="4">
        <f t="shared" si="83"/>
        <v>0</v>
      </c>
      <c r="H32" s="4">
        <f t="shared" si="84"/>
        <v>531.5</v>
      </c>
      <c r="I32" s="4">
        <f t="shared" si="85"/>
        <v>0</v>
      </c>
      <c r="J32" s="9">
        <f t="shared" si="19"/>
        <v>132.5</v>
      </c>
      <c r="K32" s="9">
        <f t="shared" si="20"/>
        <v>129.5</v>
      </c>
      <c r="L32" s="6">
        <f t="shared" si="86"/>
        <v>139.546904315197</v>
      </c>
      <c r="M32" s="6">
        <f t="shared" si="87"/>
        <v>127.046904315197</v>
      </c>
      <c r="N32" s="13">
        <f t="shared" si="80"/>
        <v>133.95576776849757</v>
      </c>
      <c r="O32" s="13">
        <f t="shared" si="81"/>
        <v>125.3</v>
      </c>
      <c r="P32" s="13">
        <f t="shared" si="82"/>
        <v>116.45576776849757</v>
      </c>
      <c r="Q32" s="1">
        <f t="shared" si="88"/>
        <v>2.5</v>
      </c>
      <c r="R32" s="1">
        <f t="shared" si="89"/>
        <v>3.5</v>
      </c>
      <c r="S32" s="1">
        <f t="shared" si="90"/>
        <v>1</v>
      </c>
      <c r="T32" s="6">
        <f t="shared" si="91"/>
        <v>3.5</v>
      </c>
      <c r="U32" s="6">
        <f t="shared" si="92"/>
        <v>3.5</v>
      </c>
      <c r="V32" s="3">
        <f t="shared" si="93"/>
        <v>1.5</v>
      </c>
      <c r="W32" s="3">
        <f t="shared" si="94"/>
        <v>0</v>
      </c>
      <c r="X32" s="3">
        <f t="shared" si="95"/>
        <v>1.5</v>
      </c>
      <c r="Y32" s="3">
        <f t="shared" si="96"/>
        <v>0</v>
      </c>
      <c r="Z32" s="3">
        <f t="shared" si="97"/>
        <v>1.5</v>
      </c>
      <c r="AA32" s="3">
        <f t="shared" si="98"/>
        <v>0</v>
      </c>
      <c r="AB32" s="30">
        <f t="shared" si="45"/>
        <v>54</v>
      </c>
      <c r="AC32" s="6">
        <f t="shared" si="46"/>
        <v>22</v>
      </c>
      <c r="AD32" s="6">
        <f t="shared" si="47"/>
        <v>7.5</v>
      </c>
      <c r="AE32" s="16">
        <f t="shared" si="48"/>
        <v>41</v>
      </c>
      <c r="AF32" s="16">
        <f t="shared" si="49"/>
        <v>14</v>
      </c>
      <c r="AG32" s="1">
        <f t="shared" si="50"/>
        <v>27</v>
      </c>
      <c r="AH32" s="1">
        <f t="shared" si="51"/>
        <v>55</v>
      </c>
      <c r="AI32" s="16">
        <f t="shared" si="52"/>
        <v>49</v>
      </c>
      <c r="AJ32" s="16">
        <f t="shared" si="99"/>
        <v>26.857142857142858</v>
      </c>
      <c r="AM32" s="59">
        <f t="shared" si="41"/>
        <v>12</v>
      </c>
      <c r="AO32" s="58">
        <f>MAX($E$26:E31)-AM31</f>
        <v>120</v>
      </c>
      <c r="AQ32" s="1">
        <f t="shared" si="16"/>
        <v>133.2</v>
      </c>
      <c r="AR32" s="38">
        <f t="shared" si="21"/>
        <v>129.6</v>
      </c>
      <c r="AS32" s="39">
        <f t="shared" si="22"/>
        <v>132.6</v>
      </c>
      <c r="AT32" s="38">
        <f t="shared" si="23"/>
        <v>135.6</v>
      </c>
      <c r="AU32" s="39">
        <f t="shared" si="24"/>
        <v>126.6</v>
      </c>
      <c r="AV32" s="1">
        <f t="shared" si="25"/>
        <v>0</v>
      </c>
      <c r="AW32" s="1">
        <f t="shared" si="26"/>
        <v>0</v>
      </c>
      <c r="AX32" s="1">
        <f t="shared" si="27"/>
        <v>127.5</v>
      </c>
      <c r="AY32" s="1">
        <f t="shared" si="40"/>
        <v>133</v>
      </c>
      <c r="AZ32" s="75" t="s">
        <v>77</v>
      </c>
      <c r="BB32" s="41">
        <f t="shared" si="77"/>
        <v>123.60303141124899</v>
      </c>
      <c r="BC32" s="3">
        <f>MAX($C$23:C32)</f>
        <v>134.5</v>
      </c>
      <c r="BD32" s="3">
        <f t="shared" si="78"/>
        <v>10.896968588751008</v>
      </c>
      <c r="BE32" s="3">
        <f>MIN(IF(MAX($C$23:C32)&gt;MAX(C$23:$C31),BE31+0.02,BE31),0.2)</f>
        <v>0.14</v>
      </c>
      <c r="BF32" s="3">
        <f t="shared" si="79"/>
        <v>1.5255756024251412</v>
      </c>
      <c r="BJ32" s="5">
        <f t="shared" si="28"/>
        <v>2</v>
      </c>
      <c r="BK32" s="5">
        <f t="shared" si="29"/>
        <v>0</v>
      </c>
      <c r="BL32" s="3">
        <f t="shared" si="53"/>
        <v>1.3571428571428572</v>
      </c>
      <c r="BM32" s="3">
        <f t="shared" si="54"/>
        <v>0.4642857142857143</v>
      </c>
      <c r="BN32" s="30">
        <f t="shared" si="55"/>
        <v>74.50980392156862</v>
      </c>
      <c r="BO32" s="21">
        <f t="shared" si="64"/>
        <v>134.27440805847382</v>
      </c>
      <c r="BP32" s="21">
        <f t="shared" si="65"/>
        <v>125.3</v>
      </c>
      <c r="BQ32" s="21">
        <f t="shared" si="66"/>
        <v>116.32559194152617</v>
      </c>
      <c r="BR32" s="19"/>
      <c r="BS32" s="21">
        <f t="shared" si="75"/>
        <v>0.14324673676733962</v>
      </c>
      <c r="BT32" s="21">
        <f t="shared" si="76"/>
        <v>0.9289976536519029</v>
      </c>
      <c r="BU32" s="6">
        <f t="shared" si="17"/>
        <v>-490586.60000000003</v>
      </c>
      <c r="BV32" s="6">
        <f t="shared" si="18"/>
        <v>-490586.60000000003</v>
      </c>
      <c r="BW32" s="6">
        <f t="shared" si="30"/>
        <v>2.452929605739807</v>
      </c>
      <c r="BX32" s="25">
        <f t="shared" si="56"/>
        <v>693168.3918831169</v>
      </c>
      <c r="BY32" s="25">
        <f t="shared" si="57"/>
        <v>658432.5491805814</v>
      </c>
      <c r="BZ32" s="26">
        <f t="shared" si="58"/>
        <v>0.6854049374928847</v>
      </c>
      <c r="CA32" s="33">
        <f t="shared" si="62"/>
        <v>1.0756693830034925</v>
      </c>
      <c r="CB32" s="27">
        <f t="shared" si="63"/>
        <v>0.8515206268876405</v>
      </c>
      <c r="CC32" s="66">
        <f t="shared" si="31"/>
        <v>131.33333333333334</v>
      </c>
      <c r="CD32" s="56">
        <f t="shared" si="32"/>
        <v>129.66666666666669</v>
      </c>
      <c r="CE32" s="66">
        <f t="shared" si="33"/>
        <v>132.66666666666669</v>
      </c>
      <c r="CF32" s="56">
        <f t="shared" si="34"/>
        <v>128.33333333333331</v>
      </c>
      <c r="CG32" s="66">
        <f t="shared" si="35"/>
        <v>134.33333333333334</v>
      </c>
      <c r="CH32" s="56">
        <f t="shared" si="36"/>
        <v>126.66666666666666</v>
      </c>
      <c r="CI32" s="66">
        <f t="shared" si="37"/>
        <v>136</v>
      </c>
      <c r="CJ32" s="56">
        <f t="shared" si="38"/>
        <v>125.33333333333331</v>
      </c>
      <c r="CK32" s="66">
        <f t="shared" si="39"/>
        <v>137.33333333333337</v>
      </c>
      <c r="CL32" s="84">
        <f t="shared" si="67"/>
        <v>132.525</v>
      </c>
      <c r="CM32" s="84">
        <f t="shared" si="68"/>
        <v>125.75</v>
      </c>
      <c r="CN32" s="84">
        <f t="shared" si="69"/>
        <v>118.475</v>
      </c>
      <c r="CO32" s="3">
        <f t="shared" si="70"/>
        <v>-4.180487884322611</v>
      </c>
      <c r="CP32" s="3">
        <f t="shared" si="71"/>
        <v>0.00855835021211418</v>
      </c>
      <c r="CQ32" s="3">
        <f t="shared" si="72"/>
        <v>14.56397661033463</v>
      </c>
      <c r="CR32">
        <f t="shared" si="73"/>
        <v>0.0006878166138999548</v>
      </c>
      <c r="CS32" s="3">
        <f t="shared" si="74"/>
        <v>14.564417506335303</v>
      </c>
    </row>
    <row r="33" spans="1:97" ht="12.75">
      <c r="A33" s="83">
        <v>37908</v>
      </c>
      <c r="B33" s="53">
        <v>133</v>
      </c>
      <c r="C33" s="53">
        <v>133.5</v>
      </c>
      <c r="D33" s="52">
        <v>130</v>
      </c>
      <c r="E33" s="52">
        <v>131</v>
      </c>
      <c r="F33" s="4">
        <v>2798551</v>
      </c>
      <c r="G33" s="4">
        <f t="shared" si="83"/>
        <v>0</v>
      </c>
      <c r="H33" s="4">
        <f t="shared" si="84"/>
        <v>524.5</v>
      </c>
      <c r="I33" s="4">
        <f t="shared" si="85"/>
        <v>0</v>
      </c>
      <c r="J33" s="9">
        <f t="shared" si="19"/>
        <v>133.75</v>
      </c>
      <c r="K33" s="9">
        <f t="shared" si="20"/>
        <v>131.25</v>
      </c>
      <c r="L33" s="6">
        <f t="shared" si="86"/>
        <v>140.59297912713473</v>
      </c>
      <c r="M33" s="6">
        <f t="shared" si="87"/>
        <v>123.09297912713473</v>
      </c>
      <c r="N33" s="13">
        <f t="shared" si="80"/>
        <v>134.3068452962829</v>
      </c>
      <c r="O33" s="13">
        <f t="shared" si="81"/>
        <v>125.5</v>
      </c>
      <c r="P33" s="13">
        <f t="shared" si="82"/>
        <v>116.68184529628289</v>
      </c>
      <c r="Q33" s="1">
        <f t="shared" si="88"/>
        <v>3.5</v>
      </c>
      <c r="R33" s="1">
        <f t="shared" si="89"/>
        <v>0.5</v>
      </c>
      <c r="S33" s="1">
        <f t="shared" si="90"/>
        <v>3</v>
      </c>
      <c r="T33" s="6">
        <f t="shared" si="91"/>
        <v>3.5</v>
      </c>
      <c r="U33" s="6">
        <f t="shared" si="92"/>
        <v>3.5</v>
      </c>
      <c r="V33" s="3">
        <f t="shared" si="93"/>
        <v>0</v>
      </c>
      <c r="W33" s="3">
        <f t="shared" si="94"/>
        <v>2</v>
      </c>
      <c r="X33" s="3">
        <f t="shared" si="95"/>
        <v>0</v>
      </c>
      <c r="Y33" s="3">
        <f t="shared" si="96"/>
        <v>2</v>
      </c>
      <c r="Z33" s="3">
        <f t="shared" si="97"/>
        <v>0</v>
      </c>
      <c r="AA33" s="3">
        <f t="shared" si="98"/>
        <v>2</v>
      </c>
      <c r="AB33" s="30">
        <f t="shared" si="45"/>
        <v>54</v>
      </c>
      <c r="AC33" s="6">
        <f t="shared" si="46"/>
        <v>22</v>
      </c>
      <c r="AD33" s="6">
        <f t="shared" si="47"/>
        <v>8.5</v>
      </c>
      <c r="AE33" s="16">
        <f t="shared" si="48"/>
        <v>41</v>
      </c>
      <c r="AF33" s="16">
        <f t="shared" si="49"/>
        <v>16</v>
      </c>
      <c r="AG33" s="1">
        <f t="shared" si="50"/>
        <v>25</v>
      </c>
      <c r="AH33" s="1">
        <f t="shared" si="51"/>
        <v>57</v>
      </c>
      <c r="AI33" s="16">
        <f t="shared" si="52"/>
        <v>44</v>
      </c>
      <c r="AJ33" s="16">
        <f t="shared" si="99"/>
        <v>25.857142857142858</v>
      </c>
      <c r="AM33" s="59">
        <f t="shared" si="41"/>
        <v>11</v>
      </c>
      <c r="AO33" s="58">
        <f>MAX($E$26:E32)-AM32</f>
        <v>121</v>
      </c>
      <c r="AQ33" s="1">
        <f t="shared" si="16"/>
        <v>131.5</v>
      </c>
      <c r="AR33" s="38">
        <f t="shared" si="21"/>
        <v>131.9</v>
      </c>
      <c r="AS33" s="39">
        <f t="shared" si="22"/>
        <v>134.4</v>
      </c>
      <c r="AT33" s="38">
        <f t="shared" si="23"/>
        <v>136.9</v>
      </c>
      <c r="AU33" s="39">
        <f t="shared" si="24"/>
        <v>129.4</v>
      </c>
      <c r="AV33" s="1">
        <f t="shared" si="25"/>
        <v>0</v>
      </c>
      <c r="AW33" s="1">
        <f t="shared" si="26"/>
        <v>0</v>
      </c>
      <c r="AX33" s="1">
        <f t="shared" si="27"/>
        <v>130</v>
      </c>
      <c r="AY33" s="1">
        <f t="shared" si="40"/>
        <v>134.5</v>
      </c>
      <c r="AZ33" s="74" t="s">
        <v>76</v>
      </c>
      <c r="BB33" s="41">
        <f t="shared" si="77"/>
        <v>125.12860701367413</v>
      </c>
      <c r="BC33" s="3">
        <f>MAX($C$23:C33)</f>
        <v>134.5</v>
      </c>
      <c r="BD33" s="3">
        <f t="shared" si="78"/>
        <v>9.371392986325873</v>
      </c>
      <c r="BE33" s="3">
        <f>MIN(IF(MAX($C$23:C33)&gt;MAX(C$23:$C32),BE32+0.02,BE32),0.2)</f>
        <v>0.14</v>
      </c>
      <c r="BF33" s="3">
        <f t="shared" si="79"/>
        <v>1.3119950180856224</v>
      </c>
      <c r="BJ33" s="5">
        <f t="shared" si="28"/>
        <v>0</v>
      </c>
      <c r="BK33" s="5">
        <f t="shared" si="29"/>
        <v>2</v>
      </c>
      <c r="BL33" s="3">
        <f t="shared" si="53"/>
        <v>1.3571428571428572</v>
      </c>
      <c r="BM33" s="3">
        <f t="shared" si="54"/>
        <v>0.5</v>
      </c>
      <c r="BN33" s="30">
        <f t="shared" si="55"/>
        <v>73.07692307692308</v>
      </c>
      <c r="BO33" s="21">
        <f t="shared" si="64"/>
        <v>134.78977932999487</v>
      </c>
      <c r="BP33" s="21">
        <f t="shared" si="65"/>
        <v>125.5</v>
      </c>
      <c r="BQ33" s="21">
        <f t="shared" si="66"/>
        <v>116.21022067000513</v>
      </c>
      <c r="BR33" s="19"/>
      <c r="BS33" s="21">
        <f t="shared" si="75"/>
        <v>0.14804429211147205</v>
      </c>
      <c r="BT33" s="21">
        <f t="shared" si="76"/>
        <v>0.7960242544320499</v>
      </c>
      <c r="BU33" s="6">
        <f t="shared" si="17"/>
        <v>-1199379</v>
      </c>
      <c r="BV33" s="6">
        <f t="shared" si="18"/>
        <v>-1599172</v>
      </c>
      <c r="BW33" s="6">
        <f t="shared" si="30"/>
        <v>-2.798548547070394</v>
      </c>
      <c r="BX33" s="25">
        <f t="shared" si="56"/>
        <v>846964.2490259742</v>
      </c>
      <c r="BY33" s="25">
        <f t="shared" si="57"/>
        <v>681043.5695887447</v>
      </c>
      <c r="BZ33" s="26">
        <f t="shared" si="58"/>
        <v>0.7249747568335089</v>
      </c>
      <c r="CA33" s="33">
        <f t="shared" si="62"/>
        <v>1.0805001953888236</v>
      </c>
      <c r="CB33" s="27">
        <f t="shared" si="63"/>
        <v>0.7334156132280709</v>
      </c>
      <c r="CC33" s="66">
        <f t="shared" si="31"/>
        <v>133.16666666666666</v>
      </c>
      <c r="CD33" s="56">
        <f t="shared" si="32"/>
        <v>131.83333333333331</v>
      </c>
      <c r="CE33" s="66">
        <f t="shared" si="33"/>
        <v>134.33333333333331</v>
      </c>
      <c r="CF33" s="56">
        <f t="shared" si="34"/>
        <v>130.66666666666669</v>
      </c>
      <c r="CG33" s="66">
        <f t="shared" si="35"/>
        <v>135.66666666666666</v>
      </c>
      <c r="CH33" s="56">
        <f t="shared" si="36"/>
        <v>129.33333333333334</v>
      </c>
      <c r="CI33" s="66">
        <f t="shared" si="37"/>
        <v>137</v>
      </c>
      <c r="CJ33" s="56">
        <f t="shared" si="38"/>
        <v>128.16666666666669</v>
      </c>
      <c r="CK33" s="66">
        <f t="shared" si="39"/>
        <v>138.16666666666663</v>
      </c>
      <c r="CL33" s="84">
        <f t="shared" si="67"/>
        <v>132.525</v>
      </c>
      <c r="CM33" s="84">
        <f t="shared" si="68"/>
        <v>125.75</v>
      </c>
      <c r="CN33" s="84">
        <f t="shared" si="69"/>
        <v>118.475</v>
      </c>
      <c r="CO33" s="3">
        <f t="shared" si="70"/>
        <v>-4.34544440533068</v>
      </c>
      <c r="CP33" s="3">
        <f t="shared" si="71"/>
        <v>-0.03485160679744593</v>
      </c>
      <c r="CQ33" s="3">
        <f t="shared" si="72"/>
        <v>15.739788014837636</v>
      </c>
      <c r="CR33">
        <f t="shared" si="73"/>
        <v>0.0003820748571701794</v>
      </c>
      <c r="CS33" s="3">
        <f t="shared" si="74"/>
        <v>15.739762102384702</v>
      </c>
    </row>
    <row r="34" spans="1:97" ht="12.75">
      <c r="A34" s="83">
        <v>37909</v>
      </c>
      <c r="B34" s="52">
        <v>131.5</v>
      </c>
      <c r="C34" s="52">
        <v>133</v>
      </c>
      <c r="D34" s="52">
        <v>130.5</v>
      </c>
      <c r="E34" s="52">
        <v>132</v>
      </c>
      <c r="F34" s="4">
        <v>3819961</v>
      </c>
      <c r="G34" s="4">
        <f t="shared" si="83"/>
        <v>528.5</v>
      </c>
      <c r="H34" s="4">
        <f t="shared" si="84"/>
        <v>0</v>
      </c>
      <c r="I34" s="4">
        <f t="shared" si="85"/>
        <v>0</v>
      </c>
      <c r="J34" s="9">
        <f t="shared" si="19"/>
        <v>132.25</v>
      </c>
      <c r="K34" s="9">
        <f t="shared" si="20"/>
        <v>128.75</v>
      </c>
      <c r="L34" s="6">
        <f t="shared" si="86"/>
        <v>138.04743833017076</v>
      </c>
      <c r="M34" s="6">
        <f t="shared" si="87"/>
        <v>125.54743833017078</v>
      </c>
      <c r="N34" s="13">
        <f t="shared" si="80"/>
        <v>134.27626043479535</v>
      </c>
      <c r="O34" s="13">
        <f t="shared" si="81"/>
        <v>125.825</v>
      </c>
      <c r="P34" s="13">
        <f t="shared" si="82"/>
        <v>117.15126043479533</v>
      </c>
      <c r="Q34" s="1">
        <f t="shared" si="88"/>
        <v>2.5</v>
      </c>
      <c r="R34" s="1">
        <f t="shared" si="89"/>
        <v>2</v>
      </c>
      <c r="S34" s="1">
        <f t="shared" si="90"/>
        <v>0.5</v>
      </c>
      <c r="T34" s="6">
        <f t="shared" si="91"/>
        <v>2.5</v>
      </c>
      <c r="U34" s="6">
        <f t="shared" si="92"/>
        <v>2.5</v>
      </c>
      <c r="V34" s="3">
        <f t="shared" si="93"/>
        <v>0</v>
      </c>
      <c r="W34" s="3">
        <f t="shared" si="94"/>
        <v>0</v>
      </c>
      <c r="X34" s="3">
        <f t="shared" si="95"/>
        <v>0</v>
      </c>
      <c r="Y34" s="3">
        <f t="shared" si="96"/>
        <v>0</v>
      </c>
      <c r="Z34" s="3">
        <f t="shared" si="97"/>
        <v>0</v>
      </c>
      <c r="AA34" s="3">
        <f t="shared" si="98"/>
        <v>0</v>
      </c>
      <c r="AB34" s="30">
        <f t="shared" si="45"/>
        <v>54.5</v>
      </c>
      <c r="AC34" s="6">
        <f t="shared" si="46"/>
        <v>22</v>
      </c>
      <c r="AD34" s="6">
        <f t="shared" si="47"/>
        <v>6.5</v>
      </c>
      <c r="AE34" s="16">
        <f t="shared" si="48"/>
        <v>40</v>
      </c>
      <c r="AF34" s="16">
        <f t="shared" si="49"/>
        <v>12</v>
      </c>
      <c r="AG34" s="1">
        <f t="shared" si="50"/>
        <v>28</v>
      </c>
      <c r="AH34" s="1">
        <f t="shared" si="51"/>
        <v>52</v>
      </c>
      <c r="AI34" s="16">
        <f t="shared" si="52"/>
        <v>54</v>
      </c>
      <c r="AJ34" s="16">
        <f t="shared" si="99"/>
        <v>25.714285714285715</v>
      </c>
      <c r="AM34" s="59">
        <f>ROUND(3*(SUM(U28:U34)/7),0)</f>
        <v>11</v>
      </c>
      <c r="AO34" s="58">
        <f>MAX($E$26:E33)-AM33</f>
        <v>122</v>
      </c>
      <c r="AQ34" s="1">
        <f t="shared" si="16"/>
        <v>131.8</v>
      </c>
      <c r="AR34" s="38">
        <f t="shared" si="21"/>
        <v>129.5</v>
      </c>
      <c r="AS34" s="39">
        <f t="shared" si="22"/>
        <v>133</v>
      </c>
      <c r="AT34" s="38">
        <f t="shared" si="23"/>
        <v>136.5</v>
      </c>
      <c r="AU34" s="39">
        <f t="shared" si="24"/>
        <v>126</v>
      </c>
      <c r="AV34" s="1">
        <f t="shared" si="25"/>
        <v>0</v>
      </c>
      <c r="AW34" s="1">
        <f t="shared" si="26"/>
        <v>0</v>
      </c>
      <c r="AX34" s="1">
        <f t="shared" si="27"/>
        <v>130</v>
      </c>
      <c r="AY34" s="1">
        <f t="shared" si="40"/>
        <v>134.5</v>
      </c>
      <c r="AZ34" s="73" t="s">
        <v>186</v>
      </c>
      <c r="BB34" s="41">
        <f t="shared" si="77"/>
        <v>126.44060203175975</v>
      </c>
      <c r="BC34" s="3">
        <f>MAX($C$23:C34)</f>
        <v>134.5</v>
      </c>
      <c r="BD34" s="3">
        <f t="shared" si="78"/>
        <v>8.059397968240248</v>
      </c>
      <c r="BE34" s="3">
        <f>MIN(IF(MAX($C$23:C34)&gt;MAX(C$23:$C33),BE33+0.02,BE33),0.2)</f>
        <v>0.14</v>
      </c>
      <c r="BF34" s="3">
        <f t="shared" si="79"/>
        <v>1.1283157155536347</v>
      </c>
      <c r="BJ34" s="5">
        <f t="shared" si="28"/>
        <v>1</v>
      </c>
      <c r="BK34" s="5">
        <f t="shared" si="29"/>
        <v>0</v>
      </c>
      <c r="BL34" s="3">
        <f t="shared" si="53"/>
        <v>1.4285714285714286</v>
      </c>
      <c r="BM34" s="3">
        <f t="shared" si="54"/>
        <v>0.42857142857142855</v>
      </c>
      <c r="BN34" s="30">
        <f t="shared" si="55"/>
        <v>76.92307692307693</v>
      </c>
      <c r="BO34" s="21">
        <f t="shared" si="64"/>
        <v>135.53723455235715</v>
      </c>
      <c r="BP34" s="21">
        <f t="shared" si="65"/>
        <v>125.825</v>
      </c>
      <c r="BQ34" s="21">
        <f t="shared" si="66"/>
        <v>116.11276544764286</v>
      </c>
      <c r="BR34" s="19"/>
      <c r="BS34" s="21">
        <f t="shared" si="75"/>
        <v>0.15437686552524768</v>
      </c>
      <c r="BT34" s="21">
        <f t="shared" si="76"/>
        <v>0.8178980062060658</v>
      </c>
      <c r="BU34" s="6">
        <f t="shared" si="17"/>
        <v>763992.2000000001</v>
      </c>
      <c r="BV34" s="6">
        <f t="shared" si="18"/>
        <v>763992.2000000001</v>
      </c>
      <c r="BW34" s="6">
        <f t="shared" si="30"/>
        <v>3.819958201451453</v>
      </c>
      <c r="BX34" s="25">
        <f t="shared" si="56"/>
        <v>821163.1442640693</v>
      </c>
      <c r="BY34" s="25">
        <f t="shared" si="57"/>
        <v>574870.4886363638</v>
      </c>
      <c r="BZ34" s="26">
        <f t="shared" si="58"/>
        <v>1.238945082117614</v>
      </c>
      <c r="CA34" s="33">
        <f t="shared" si="62"/>
        <v>1.0909090909090908</v>
      </c>
      <c r="CB34" s="27">
        <f t="shared" si="63"/>
        <v>0.775602191107643</v>
      </c>
      <c r="CC34" s="66">
        <f t="shared" si="31"/>
        <v>131.5</v>
      </c>
      <c r="CD34" s="56">
        <f t="shared" si="32"/>
        <v>129.5</v>
      </c>
      <c r="CE34" s="66">
        <f t="shared" si="33"/>
        <v>133</v>
      </c>
      <c r="CF34" s="56">
        <f t="shared" si="34"/>
        <v>128</v>
      </c>
      <c r="CG34" s="66">
        <f t="shared" si="35"/>
        <v>135</v>
      </c>
      <c r="CH34" s="56">
        <f t="shared" si="36"/>
        <v>126</v>
      </c>
      <c r="CI34" s="66">
        <f t="shared" si="37"/>
        <v>137</v>
      </c>
      <c r="CJ34" s="56">
        <f t="shared" si="38"/>
        <v>124.5</v>
      </c>
      <c r="CK34" s="66">
        <f t="shared" si="39"/>
        <v>138.5</v>
      </c>
      <c r="CL34" s="84">
        <f t="shared" si="67"/>
        <v>132.525</v>
      </c>
      <c r="CM34" s="84">
        <f t="shared" si="68"/>
        <v>126.5</v>
      </c>
      <c r="CN34" s="84">
        <f t="shared" si="69"/>
        <v>118.475</v>
      </c>
      <c r="CO34" s="3">
        <f t="shared" si="70"/>
        <v>-4.490575417683415</v>
      </c>
      <c r="CP34" s="3">
        <f t="shared" si="71"/>
        <v>-0.11840504696603013</v>
      </c>
      <c r="CQ34" s="3">
        <f t="shared" si="72"/>
        <v>16.85112216874224</v>
      </c>
      <c r="CR34">
        <f t="shared" si="73"/>
        <v>0.00021919231028345726</v>
      </c>
      <c r="CS34" s="3">
        <f t="shared" si="74"/>
        <v>16.848894472332177</v>
      </c>
    </row>
    <row r="35" spans="1:97" ht="12.75">
      <c r="A35" s="83">
        <v>37910</v>
      </c>
      <c r="B35" s="53">
        <v>130.5</v>
      </c>
      <c r="C35" s="53">
        <v>133</v>
      </c>
      <c r="D35" s="52">
        <v>125</v>
      </c>
      <c r="E35" s="52">
        <v>127.5</v>
      </c>
      <c r="F35" s="4">
        <v>11313519</v>
      </c>
      <c r="G35" s="4">
        <f t="shared" si="83"/>
        <v>0</v>
      </c>
      <c r="H35" s="4">
        <f t="shared" si="84"/>
        <v>510.5</v>
      </c>
      <c r="I35" s="4">
        <f t="shared" si="85"/>
        <v>0</v>
      </c>
      <c r="J35" s="9">
        <f t="shared" si="19"/>
        <v>133.75</v>
      </c>
      <c r="K35" s="9">
        <f t="shared" si="20"/>
        <v>131.25</v>
      </c>
      <c r="L35" s="6">
        <f t="shared" si="86"/>
        <v>149.49612403100775</v>
      </c>
      <c r="M35" s="6">
        <f t="shared" si="87"/>
        <v>109.49612403100775</v>
      </c>
      <c r="N35" s="13">
        <f t="shared" si="80"/>
        <v>134.9946666363457</v>
      </c>
      <c r="O35" s="13">
        <f t="shared" si="81"/>
        <v>125.85</v>
      </c>
      <c r="P35" s="13">
        <f t="shared" si="82"/>
        <v>116.86966663634571</v>
      </c>
      <c r="Q35" s="1">
        <f t="shared" si="88"/>
        <v>8</v>
      </c>
      <c r="R35" s="1">
        <f t="shared" si="89"/>
        <v>1</v>
      </c>
      <c r="S35" s="1">
        <f t="shared" si="90"/>
        <v>7</v>
      </c>
      <c r="T35" s="6">
        <f t="shared" si="91"/>
        <v>8</v>
      </c>
      <c r="U35" s="6">
        <f t="shared" si="92"/>
        <v>8</v>
      </c>
      <c r="V35" s="3">
        <f t="shared" si="93"/>
        <v>0</v>
      </c>
      <c r="W35" s="3">
        <f t="shared" si="94"/>
        <v>5.5</v>
      </c>
      <c r="X35" s="3">
        <f t="shared" si="95"/>
        <v>0</v>
      </c>
      <c r="Y35" s="3">
        <f t="shared" si="96"/>
        <v>5.5</v>
      </c>
      <c r="Z35" s="3">
        <f t="shared" si="97"/>
        <v>0</v>
      </c>
      <c r="AA35" s="3">
        <f t="shared" si="98"/>
        <v>5.5</v>
      </c>
      <c r="AB35" s="30">
        <f t="shared" si="45"/>
        <v>58</v>
      </c>
      <c r="AC35" s="6">
        <f t="shared" si="46"/>
        <v>20</v>
      </c>
      <c r="AD35" s="6">
        <f t="shared" si="47"/>
        <v>12</v>
      </c>
      <c r="AE35" s="16">
        <f t="shared" si="48"/>
        <v>34</v>
      </c>
      <c r="AF35" s="16">
        <f t="shared" si="49"/>
        <v>21</v>
      </c>
      <c r="AG35" s="1">
        <f t="shared" si="50"/>
        <v>13</v>
      </c>
      <c r="AH35" s="1">
        <f t="shared" si="51"/>
        <v>55</v>
      </c>
      <c r="AI35" s="16">
        <f t="shared" si="52"/>
        <v>24</v>
      </c>
      <c r="AJ35" s="16">
        <f t="shared" si="99"/>
        <v>24.428571428571427</v>
      </c>
      <c r="AM35" s="59">
        <f aca="true" t="shared" si="100" ref="AM35:AM50">ROUND(3*(SUM(U29:U35)/7),0)</f>
        <v>12</v>
      </c>
      <c r="AO35" s="58">
        <f>MAX($E$26:E34)-AM34</f>
        <v>122</v>
      </c>
      <c r="AQ35" s="1">
        <f t="shared" si="16"/>
        <v>128.5</v>
      </c>
      <c r="AR35" s="38">
        <f t="shared" si="21"/>
        <v>130.6</v>
      </c>
      <c r="AS35" s="39">
        <f t="shared" si="22"/>
        <v>133.1</v>
      </c>
      <c r="AT35" s="38">
        <f t="shared" si="23"/>
        <v>135.6</v>
      </c>
      <c r="AU35" s="39">
        <f t="shared" si="24"/>
        <v>128.1</v>
      </c>
      <c r="AV35" s="1">
        <f t="shared" si="25"/>
        <v>0</v>
      </c>
      <c r="AW35" s="1">
        <f t="shared" si="26"/>
        <v>1</v>
      </c>
      <c r="AX35" s="1">
        <f t="shared" si="27"/>
        <v>130</v>
      </c>
      <c r="AY35" s="1">
        <f t="shared" si="40"/>
        <v>133.5</v>
      </c>
      <c r="AZ35" s="75" t="s">
        <v>77</v>
      </c>
      <c r="BB35" s="41">
        <f t="shared" si="77"/>
        <v>127.56891774731339</v>
      </c>
      <c r="BC35" s="3">
        <f>MAX($C$23:C35)</f>
        <v>134.5</v>
      </c>
      <c r="BD35" s="3">
        <f t="shared" si="78"/>
        <v>6.931082252686608</v>
      </c>
      <c r="BE35" s="3">
        <f>MIN(IF(MAX($C$23:C35)&gt;MAX(C$23:$C34),BE34+0.02,BE34),0.2)</f>
        <v>0.14</v>
      </c>
      <c r="BF35" s="3">
        <f t="shared" si="79"/>
        <v>0.9703515153761252</v>
      </c>
      <c r="BH35" s="3">
        <v>127.5</v>
      </c>
      <c r="BI35" s="1">
        <v>7</v>
      </c>
      <c r="BJ35" s="5">
        <f t="shared" si="28"/>
        <v>0</v>
      </c>
      <c r="BK35" s="5">
        <f t="shared" si="29"/>
        <v>4.5</v>
      </c>
      <c r="BL35" s="3">
        <f t="shared" si="53"/>
        <v>1.3214285714285714</v>
      </c>
      <c r="BM35" s="3">
        <f t="shared" si="54"/>
        <v>0.75</v>
      </c>
      <c r="BN35" s="30">
        <f t="shared" si="55"/>
        <v>63.793103448275865</v>
      </c>
      <c r="BO35" s="21">
        <f t="shared" si="64"/>
        <v>135.57676719162126</v>
      </c>
      <c r="BP35" s="21">
        <f t="shared" si="65"/>
        <v>125.85</v>
      </c>
      <c r="BQ35" s="21">
        <f t="shared" si="66"/>
        <v>116.12323280837872</v>
      </c>
      <c r="BR35" s="19"/>
      <c r="BS35" s="21">
        <f t="shared" si="75"/>
        <v>0.1545771504429284</v>
      </c>
      <c r="BT35" s="21">
        <f t="shared" si="76"/>
        <v>0.5848174921582033</v>
      </c>
      <c r="BU35" s="6">
        <f t="shared" si="17"/>
        <v>-4242569.625</v>
      </c>
      <c r="BV35" s="6">
        <f t="shared" si="18"/>
        <v>-4242569.625</v>
      </c>
      <c r="BW35" s="6">
        <f t="shared" si="30"/>
        <v>-11.313515180041799</v>
      </c>
      <c r="BX35" s="25">
        <f t="shared" si="56"/>
        <v>364483.2900974025</v>
      </c>
      <c r="BY35" s="25">
        <f t="shared" si="57"/>
        <v>210374.13446969705</v>
      </c>
      <c r="BZ35" s="26">
        <f t="shared" si="58"/>
        <v>0.15428659608793893</v>
      </c>
      <c r="CA35" s="33">
        <f t="shared" si="62"/>
        <v>1.0827886710239651</v>
      </c>
      <c r="CB35" s="27">
        <f t="shared" si="63"/>
        <v>1.4666737684382432</v>
      </c>
      <c r="CC35" s="66">
        <f t="shared" si="31"/>
        <v>131.83333333333334</v>
      </c>
      <c r="CD35" s="56">
        <f t="shared" si="32"/>
        <v>130.66666666666669</v>
      </c>
      <c r="CE35" s="66">
        <f t="shared" si="33"/>
        <v>133.16666666666669</v>
      </c>
      <c r="CF35" s="56">
        <f t="shared" si="34"/>
        <v>129.33333333333331</v>
      </c>
      <c r="CG35" s="66">
        <f t="shared" si="35"/>
        <v>134.33333333333334</v>
      </c>
      <c r="CH35" s="56">
        <f t="shared" si="36"/>
        <v>128.16666666666666</v>
      </c>
      <c r="CI35" s="66">
        <f t="shared" si="37"/>
        <v>135.5</v>
      </c>
      <c r="CJ35" s="56">
        <f t="shared" si="38"/>
        <v>126.83333333333331</v>
      </c>
      <c r="CK35" s="66">
        <f t="shared" si="39"/>
        <v>136.83333333333337</v>
      </c>
      <c r="CL35" s="84">
        <f t="shared" si="67"/>
        <v>132.525</v>
      </c>
      <c r="CM35" s="84">
        <f t="shared" si="68"/>
        <v>126.75</v>
      </c>
      <c r="CN35" s="84">
        <f t="shared" si="69"/>
        <v>118.475</v>
      </c>
      <c r="CO35" s="3">
        <f t="shared" si="70"/>
        <v>-4.499007121535717</v>
      </c>
      <c r="CP35" s="3">
        <f t="shared" si="71"/>
        <v>-0.13312771645797736</v>
      </c>
      <c r="CQ35" s="3">
        <f t="shared" si="72"/>
        <v>16.9266308626553</v>
      </c>
      <c r="CR35">
        <f t="shared" si="73"/>
        <v>0.0002110711175480716</v>
      </c>
      <c r="CS35" s="3">
        <f t="shared" si="74"/>
        <v>16.924553528951947</v>
      </c>
    </row>
    <row r="36" spans="1:97" ht="12.75">
      <c r="A36" s="83">
        <v>37911</v>
      </c>
      <c r="B36" s="53">
        <v>129.5</v>
      </c>
      <c r="C36" s="52">
        <v>133</v>
      </c>
      <c r="D36" s="53">
        <v>129</v>
      </c>
      <c r="E36" s="52">
        <v>131.5</v>
      </c>
      <c r="F36" s="4">
        <v>5978292</v>
      </c>
      <c r="G36" s="4">
        <f t="shared" si="83"/>
        <v>526.5</v>
      </c>
      <c r="H36" s="4">
        <f t="shared" si="84"/>
        <v>0</v>
      </c>
      <c r="I36" s="4">
        <f t="shared" si="85"/>
        <v>0</v>
      </c>
      <c r="J36" s="9">
        <f t="shared" si="19"/>
        <v>130.25</v>
      </c>
      <c r="K36" s="9">
        <f t="shared" si="20"/>
        <v>122.25</v>
      </c>
      <c r="L36" s="6">
        <f t="shared" si="86"/>
        <v>141.12213740458017</v>
      </c>
      <c r="M36" s="6">
        <f t="shared" si="87"/>
        <v>121.12213740458016</v>
      </c>
      <c r="N36" s="13">
        <f t="shared" si="80"/>
        <v>135.3472161943218</v>
      </c>
      <c r="O36" s="13">
        <f t="shared" si="81"/>
        <v>126.125</v>
      </c>
      <c r="P36" s="13">
        <f t="shared" si="82"/>
        <v>116.97221619432177</v>
      </c>
      <c r="Q36" s="1">
        <f t="shared" si="88"/>
        <v>4</v>
      </c>
      <c r="R36" s="1">
        <f t="shared" si="89"/>
        <v>5.5</v>
      </c>
      <c r="S36" s="1">
        <f t="shared" si="90"/>
        <v>1.5</v>
      </c>
      <c r="T36" s="6">
        <f t="shared" si="91"/>
        <v>5.5</v>
      </c>
      <c r="U36" s="6">
        <f t="shared" si="92"/>
        <v>5.5</v>
      </c>
      <c r="V36" s="3">
        <f t="shared" si="93"/>
        <v>0</v>
      </c>
      <c r="W36" s="3">
        <f t="shared" si="94"/>
        <v>0</v>
      </c>
      <c r="X36" s="3">
        <f t="shared" si="95"/>
        <v>0</v>
      </c>
      <c r="Y36" s="3">
        <f t="shared" si="96"/>
        <v>0</v>
      </c>
      <c r="Z36" s="3">
        <f t="shared" si="97"/>
        <v>0</v>
      </c>
      <c r="AA36" s="3">
        <f t="shared" si="98"/>
        <v>0</v>
      </c>
      <c r="AB36" s="30">
        <f t="shared" si="45"/>
        <v>58.5</v>
      </c>
      <c r="AC36" s="6">
        <f t="shared" si="46"/>
        <v>16</v>
      </c>
      <c r="AD36" s="6">
        <f t="shared" si="47"/>
        <v>12</v>
      </c>
      <c r="AE36" s="16">
        <f t="shared" si="48"/>
        <v>27</v>
      </c>
      <c r="AF36" s="16">
        <f t="shared" si="49"/>
        <v>21</v>
      </c>
      <c r="AG36" s="1">
        <f t="shared" si="50"/>
        <v>6</v>
      </c>
      <c r="AH36" s="1">
        <f t="shared" si="51"/>
        <v>48</v>
      </c>
      <c r="AI36" s="16">
        <f t="shared" si="52"/>
        <v>13</v>
      </c>
      <c r="AJ36" s="16">
        <f t="shared" si="99"/>
        <v>23.785714285714285</v>
      </c>
      <c r="AM36" s="59">
        <f t="shared" si="100"/>
        <v>13</v>
      </c>
      <c r="AO36" s="58">
        <f>MAX($E$26:E35)-AM35</f>
        <v>121</v>
      </c>
      <c r="AQ36" s="1">
        <f t="shared" si="16"/>
        <v>131.2</v>
      </c>
      <c r="AR36" s="38">
        <f t="shared" si="21"/>
        <v>124</v>
      </c>
      <c r="AS36" s="39">
        <f t="shared" si="22"/>
        <v>132</v>
      </c>
      <c r="AT36" s="38">
        <f t="shared" si="23"/>
        <v>140</v>
      </c>
      <c r="AU36" s="39">
        <f t="shared" si="24"/>
        <v>116</v>
      </c>
      <c r="AV36" s="1">
        <f t="shared" si="25"/>
        <v>0</v>
      </c>
      <c r="AW36" s="1">
        <f t="shared" si="26"/>
        <v>0</v>
      </c>
      <c r="AX36" s="1">
        <f t="shared" si="27"/>
        <v>125</v>
      </c>
      <c r="AY36" s="1">
        <f t="shared" si="40"/>
        <v>133</v>
      </c>
      <c r="AZ36" s="78" t="s">
        <v>76</v>
      </c>
      <c r="BA36" s="79" t="s">
        <v>198</v>
      </c>
      <c r="BB36" s="37">
        <f>MAX($C$23:C35)</f>
        <v>134.5</v>
      </c>
      <c r="BC36" s="3">
        <f>D36</f>
        <v>129</v>
      </c>
      <c r="BD36" s="3">
        <f aca="true" t="shared" si="101" ref="BD36:BD44">BB36-BC36</f>
        <v>5.5</v>
      </c>
      <c r="BE36" s="12">
        <v>0.02</v>
      </c>
      <c r="BF36" s="3">
        <f aca="true" t="shared" si="102" ref="BF36:BF46">BE36*BD36</f>
        <v>0.11</v>
      </c>
      <c r="BG36" s="12">
        <v>131.5</v>
      </c>
      <c r="BJ36" s="5">
        <f t="shared" si="28"/>
        <v>4</v>
      </c>
      <c r="BK36" s="5">
        <f t="shared" si="29"/>
        <v>0</v>
      </c>
      <c r="BL36" s="3">
        <f t="shared" si="53"/>
        <v>1.5</v>
      </c>
      <c r="BM36" s="3">
        <f t="shared" si="54"/>
        <v>0.75</v>
      </c>
      <c r="BN36" s="30">
        <f t="shared" si="55"/>
        <v>66.66666666666666</v>
      </c>
      <c r="BO36" s="21">
        <f t="shared" si="64"/>
        <v>136.15931612019475</v>
      </c>
      <c r="BP36" s="21">
        <f t="shared" si="65"/>
        <v>126.125</v>
      </c>
      <c r="BQ36" s="21">
        <f t="shared" si="66"/>
        <v>116.09068387980525</v>
      </c>
      <c r="BR36" s="19"/>
      <c r="BS36" s="21">
        <f t="shared" si="75"/>
        <v>0.1591170048792031</v>
      </c>
      <c r="BT36" s="21">
        <f t="shared" si="76"/>
        <v>0.7678309082361102</v>
      </c>
      <c r="BU36" s="6">
        <f t="shared" si="17"/>
        <v>1494573</v>
      </c>
      <c r="BV36" s="6">
        <f t="shared" si="18"/>
        <v>2989146</v>
      </c>
      <c r="BW36" s="6">
        <f t="shared" si="30"/>
        <v>5.97828068648482</v>
      </c>
      <c r="BX36" s="25">
        <f t="shared" si="56"/>
        <v>610287.7008116884</v>
      </c>
      <c r="BY36" s="25">
        <f t="shared" si="57"/>
        <v>470234.29518398276</v>
      </c>
      <c r="BZ36" s="26">
        <f t="shared" si="58"/>
        <v>0.39590744000088185</v>
      </c>
      <c r="CA36" s="33">
        <f t="shared" si="62"/>
        <v>1.0848196591359494</v>
      </c>
      <c r="CB36" s="27">
        <f t="shared" si="63"/>
        <v>1.8858596946784376</v>
      </c>
      <c r="CC36" s="66">
        <f t="shared" si="31"/>
        <v>128.5</v>
      </c>
      <c r="CD36" s="56">
        <f t="shared" si="32"/>
        <v>124</v>
      </c>
      <c r="CE36" s="66">
        <f t="shared" si="33"/>
        <v>132</v>
      </c>
      <c r="CF36" s="56">
        <f t="shared" si="34"/>
        <v>120.5</v>
      </c>
      <c r="CG36" s="66">
        <f t="shared" si="35"/>
        <v>136.5</v>
      </c>
      <c r="CH36" s="56">
        <f t="shared" si="36"/>
        <v>116</v>
      </c>
      <c r="CI36" s="66">
        <f t="shared" si="37"/>
        <v>141</v>
      </c>
      <c r="CJ36" s="56">
        <f t="shared" si="38"/>
        <v>112.5</v>
      </c>
      <c r="CK36" s="66">
        <f t="shared" si="39"/>
        <v>144.5</v>
      </c>
      <c r="CL36" s="84">
        <f t="shared" si="67"/>
        <v>132.525</v>
      </c>
      <c r="CM36" s="84">
        <f t="shared" si="68"/>
        <v>127.75</v>
      </c>
      <c r="CN36" s="84">
        <f t="shared" si="69"/>
        <v>118.475</v>
      </c>
      <c r="CO36" s="3">
        <f t="shared" si="70"/>
        <v>-4.597878625781234</v>
      </c>
      <c r="CP36" s="3">
        <f t="shared" si="71"/>
        <v>-0.22218563424799692</v>
      </c>
      <c r="CQ36" s="3">
        <f t="shared" si="72"/>
        <v>17.781628068067224</v>
      </c>
      <c r="CR36">
        <f t="shared" si="73"/>
        <v>0.0001376475625682054</v>
      </c>
      <c r="CS36" s="3">
        <f t="shared" si="74"/>
        <v>17.778529081624583</v>
      </c>
    </row>
    <row r="37" spans="1:97" ht="12.75">
      <c r="A37" s="83">
        <v>37914</v>
      </c>
      <c r="B37" s="52">
        <v>131</v>
      </c>
      <c r="C37" s="52">
        <v>132.5</v>
      </c>
      <c r="D37" s="52">
        <v>130</v>
      </c>
      <c r="E37" s="52">
        <v>131</v>
      </c>
      <c r="F37" s="4">
        <v>3633556</v>
      </c>
      <c r="G37" s="4">
        <f t="shared" si="83"/>
        <v>0</v>
      </c>
      <c r="H37" s="4">
        <f t="shared" si="84"/>
        <v>0</v>
      </c>
      <c r="I37" s="4">
        <f t="shared" si="85"/>
        <v>524.5</v>
      </c>
      <c r="J37" s="9">
        <f t="shared" si="19"/>
        <v>134.25</v>
      </c>
      <c r="K37" s="9">
        <f t="shared" si="20"/>
        <v>130.25</v>
      </c>
      <c r="L37" s="6">
        <f t="shared" si="86"/>
        <v>137.54761904761907</v>
      </c>
      <c r="M37" s="6">
        <f t="shared" si="87"/>
        <v>125.04761904761905</v>
      </c>
      <c r="N37" s="13">
        <f t="shared" si="80"/>
        <v>135.6709534220064</v>
      </c>
      <c r="O37" s="13">
        <f t="shared" si="81"/>
        <v>126.525</v>
      </c>
      <c r="P37" s="13">
        <f t="shared" si="82"/>
        <v>117.42095342200639</v>
      </c>
      <c r="Q37" s="1">
        <f t="shared" si="88"/>
        <v>2.5</v>
      </c>
      <c r="R37" s="1">
        <f t="shared" si="89"/>
        <v>1</v>
      </c>
      <c r="S37" s="1">
        <f t="shared" si="90"/>
        <v>1.5</v>
      </c>
      <c r="T37" s="6">
        <f t="shared" si="91"/>
        <v>2.5</v>
      </c>
      <c r="U37" s="6">
        <f t="shared" si="92"/>
        <v>2.5</v>
      </c>
      <c r="V37" s="3">
        <f t="shared" si="93"/>
        <v>0</v>
      </c>
      <c r="W37" s="3">
        <f t="shared" si="94"/>
        <v>0</v>
      </c>
      <c r="X37" s="3">
        <f t="shared" si="95"/>
        <v>0</v>
      </c>
      <c r="Y37" s="3">
        <f t="shared" si="96"/>
        <v>0</v>
      </c>
      <c r="Z37" s="3">
        <f t="shared" si="97"/>
        <v>0</v>
      </c>
      <c r="AA37" s="3">
        <f t="shared" si="98"/>
        <v>0</v>
      </c>
      <c r="AB37" s="30">
        <f t="shared" si="45"/>
        <v>57.5</v>
      </c>
      <c r="AC37" s="6">
        <f t="shared" si="46"/>
        <v>16</v>
      </c>
      <c r="AD37" s="6">
        <f t="shared" si="47"/>
        <v>10</v>
      </c>
      <c r="AE37" s="16">
        <f t="shared" si="48"/>
        <v>28</v>
      </c>
      <c r="AF37" s="16">
        <f t="shared" si="49"/>
        <v>17</v>
      </c>
      <c r="AG37" s="1">
        <f t="shared" si="50"/>
        <v>11</v>
      </c>
      <c r="AH37" s="1">
        <f t="shared" si="51"/>
        <v>45</v>
      </c>
      <c r="AI37" s="16">
        <f t="shared" si="52"/>
        <v>24</v>
      </c>
      <c r="AJ37" s="16">
        <f t="shared" si="99"/>
        <v>24.571428571428573</v>
      </c>
      <c r="AM37" s="59">
        <f t="shared" si="100"/>
        <v>12</v>
      </c>
      <c r="AO37" s="58">
        <f>MAX($E$26:E36)-AM36</f>
        <v>120</v>
      </c>
      <c r="AQ37" s="1">
        <f t="shared" si="16"/>
        <v>131.2</v>
      </c>
      <c r="AR37" s="38">
        <f t="shared" si="21"/>
        <v>129.4</v>
      </c>
      <c r="AS37" s="39">
        <f t="shared" si="22"/>
        <v>133.4</v>
      </c>
      <c r="AT37" s="38">
        <f t="shared" si="23"/>
        <v>137.4</v>
      </c>
      <c r="AU37" s="39">
        <f t="shared" si="24"/>
        <v>125.4</v>
      </c>
      <c r="AV37" s="1">
        <f t="shared" si="25"/>
        <v>0</v>
      </c>
      <c r="AW37" s="1">
        <f t="shared" si="26"/>
        <v>0</v>
      </c>
      <c r="AX37" s="1">
        <f t="shared" si="27"/>
        <v>125</v>
      </c>
      <c r="AY37" s="1">
        <f t="shared" si="40"/>
        <v>133</v>
      </c>
      <c r="AZ37" s="73" t="s">
        <v>186</v>
      </c>
      <c r="BB37" s="41">
        <f>IF(BB36-BF36&lt;MAX(C36,C35),MAX(C36,C35),BB36-BF36)</f>
        <v>134.39</v>
      </c>
      <c r="BC37" s="3">
        <f>MIN($D$36:D37)</f>
        <v>129</v>
      </c>
      <c r="BD37" s="3">
        <f t="shared" si="101"/>
        <v>5.389999999999986</v>
      </c>
      <c r="BE37" s="3">
        <f>MIN(IF(MIN($D$36:D37)&lt;MIN($D$36:D36),BE36+0.02,BE36),0.2)</f>
        <v>0.02</v>
      </c>
      <c r="BF37" s="3">
        <f t="shared" si="102"/>
        <v>0.10779999999999973</v>
      </c>
      <c r="BJ37" s="5">
        <f t="shared" si="28"/>
        <v>0</v>
      </c>
      <c r="BK37" s="5">
        <f t="shared" si="29"/>
        <v>0.5</v>
      </c>
      <c r="BL37" s="3">
        <f t="shared" si="53"/>
        <v>1.5</v>
      </c>
      <c r="BM37" s="3">
        <f t="shared" si="54"/>
        <v>0.75</v>
      </c>
      <c r="BN37" s="30">
        <f t="shared" si="55"/>
        <v>66.66666666666666</v>
      </c>
      <c r="BO37" s="21">
        <f t="shared" si="64"/>
        <v>136.66637564633123</v>
      </c>
      <c r="BP37" s="21">
        <f t="shared" si="65"/>
        <v>126.525</v>
      </c>
      <c r="BQ37" s="21">
        <f t="shared" si="66"/>
        <v>116.38362435366878</v>
      </c>
      <c r="BR37" s="19"/>
      <c r="BS37" s="21">
        <f t="shared" si="75"/>
        <v>0.1603062738009283</v>
      </c>
      <c r="BT37" s="21">
        <f t="shared" si="76"/>
        <v>0.7206308175567328</v>
      </c>
      <c r="BU37" s="6">
        <f t="shared" si="17"/>
        <v>-726711.2000000001</v>
      </c>
      <c r="BV37" s="6">
        <f t="shared" si="18"/>
        <v>0</v>
      </c>
      <c r="BW37" s="6">
        <f t="shared" si="30"/>
        <v>-3.6335500217193135</v>
      </c>
      <c r="BX37" s="25">
        <f t="shared" si="56"/>
        <v>525913.4314239334</v>
      </c>
      <c r="BY37" s="25">
        <f t="shared" si="57"/>
        <v>535166.9482452072</v>
      </c>
      <c r="BZ37" s="26">
        <f t="shared" si="58"/>
        <v>0.36363225305029684</v>
      </c>
      <c r="CA37" s="33">
        <f t="shared" si="62"/>
        <v>1.0762862211709048</v>
      </c>
      <c r="CB37" s="27">
        <f t="shared" si="63"/>
        <v>1.9962866788841764</v>
      </c>
      <c r="CC37" s="66">
        <f t="shared" si="31"/>
        <v>131.16666666666666</v>
      </c>
      <c r="CD37" s="56">
        <f t="shared" si="32"/>
        <v>129.33333333333331</v>
      </c>
      <c r="CE37" s="66">
        <f t="shared" si="33"/>
        <v>133.33333333333331</v>
      </c>
      <c r="CF37" s="56">
        <f t="shared" si="34"/>
        <v>127.16666666666669</v>
      </c>
      <c r="CG37" s="66">
        <f t="shared" si="35"/>
        <v>135.16666666666666</v>
      </c>
      <c r="CH37" s="56">
        <f t="shared" si="36"/>
        <v>125.33333333333334</v>
      </c>
      <c r="CI37" s="66">
        <f t="shared" si="37"/>
        <v>137</v>
      </c>
      <c r="CJ37" s="56">
        <f t="shared" si="38"/>
        <v>123.16666666666669</v>
      </c>
      <c r="CK37" s="66">
        <f t="shared" si="39"/>
        <v>139.16666666666663</v>
      </c>
      <c r="CL37" s="84">
        <f t="shared" si="67"/>
        <v>132.525</v>
      </c>
      <c r="CM37" s="84">
        <f t="shared" si="68"/>
        <v>128</v>
      </c>
      <c r="CN37" s="84">
        <f t="shared" si="69"/>
        <v>118.475</v>
      </c>
      <c r="CO37" s="3">
        <f t="shared" si="70"/>
        <v>-4.52476559157542</v>
      </c>
      <c r="CP37" s="3">
        <f t="shared" si="71"/>
        <v>-0.4112525294066191</v>
      </c>
      <c r="CQ37" s="3">
        <f t="shared" si="72"/>
        <v>17.62501519206519</v>
      </c>
      <c r="CR37">
        <f t="shared" si="73"/>
        <v>0.00014885950802471002</v>
      </c>
      <c r="CS37" s="3">
        <f t="shared" si="74"/>
        <v>17.62516112648882</v>
      </c>
    </row>
    <row r="38" spans="1:97" ht="12.75">
      <c r="A38" s="83">
        <v>37915</v>
      </c>
      <c r="B38" s="52">
        <v>133</v>
      </c>
      <c r="C38" s="52">
        <v>134</v>
      </c>
      <c r="D38" s="52">
        <v>131.5</v>
      </c>
      <c r="E38" s="52">
        <v>132.5</v>
      </c>
      <c r="F38" s="4">
        <v>2243700</v>
      </c>
      <c r="G38" s="4">
        <f t="shared" si="83"/>
        <v>0</v>
      </c>
      <c r="H38" s="4">
        <f t="shared" si="84"/>
        <v>529.5</v>
      </c>
      <c r="I38" s="4">
        <f t="shared" si="85"/>
        <v>0</v>
      </c>
      <c r="J38" s="9">
        <f t="shared" si="19"/>
        <v>132.25</v>
      </c>
      <c r="K38" s="9">
        <f t="shared" si="20"/>
        <v>129.75</v>
      </c>
      <c r="L38" s="6">
        <f t="shared" si="86"/>
        <v>139.04708097928437</v>
      </c>
      <c r="M38" s="6">
        <f t="shared" si="87"/>
        <v>126.54708097928437</v>
      </c>
      <c r="N38" s="13">
        <f t="shared" si="80"/>
        <v>136.1696037672669</v>
      </c>
      <c r="O38" s="13">
        <f t="shared" si="81"/>
        <v>127.125</v>
      </c>
      <c r="P38" s="13">
        <f t="shared" si="82"/>
        <v>118.04460376726688</v>
      </c>
      <c r="Q38" s="1">
        <f t="shared" si="88"/>
        <v>2.5</v>
      </c>
      <c r="R38" s="1">
        <f t="shared" si="89"/>
        <v>3</v>
      </c>
      <c r="S38" s="1">
        <f t="shared" si="90"/>
        <v>0.5</v>
      </c>
      <c r="T38" s="6">
        <f t="shared" si="91"/>
        <v>3</v>
      </c>
      <c r="U38" s="6">
        <f t="shared" si="92"/>
        <v>3</v>
      </c>
      <c r="V38" s="3">
        <f t="shared" si="93"/>
        <v>1.5</v>
      </c>
      <c r="W38" s="3">
        <f t="shared" si="94"/>
        <v>0</v>
      </c>
      <c r="X38" s="3">
        <f t="shared" si="95"/>
        <v>1.5</v>
      </c>
      <c r="Y38" s="3">
        <f t="shared" si="96"/>
        <v>0</v>
      </c>
      <c r="Z38" s="3">
        <f t="shared" si="97"/>
        <v>1.5</v>
      </c>
      <c r="AA38" s="3">
        <f t="shared" si="98"/>
        <v>0</v>
      </c>
      <c r="AB38" s="30">
        <f t="shared" si="45"/>
        <v>55.5</v>
      </c>
      <c r="AC38" s="6">
        <f t="shared" si="46"/>
        <v>16.5</v>
      </c>
      <c r="AD38" s="6">
        <f t="shared" si="47"/>
        <v>10</v>
      </c>
      <c r="AE38" s="16">
        <f t="shared" si="48"/>
        <v>30</v>
      </c>
      <c r="AF38" s="16">
        <f t="shared" si="49"/>
        <v>18</v>
      </c>
      <c r="AG38" s="1">
        <f t="shared" si="50"/>
        <v>12</v>
      </c>
      <c r="AH38" s="1">
        <f t="shared" si="51"/>
        <v>48</v>
      </c>
      <c r="AI38" s="16">
        <f t="shared" si="52"/>
        <v>25</v>
      </c>
      <c r="AJ38" s="16">
        <f t="shared" si="99"/>
        <v>26.071428571428573</v>
      </c>
      <c r="AM38" s="59">
        <f t="shared" si="100"/>
        <v>12</v>
      </c>
      <c r="AO38" s="58">
        <f>MAX($E$26:E37)-AM37</f>
        <v>121</v>
      </c>
      <c r="AQ38" s="1">
        <f t="shared" si="16"/>
        <v>132.7</v>
      </c>
      <c r="AR38" s="38">
        <f t="shared" si="21"/>
        <v>129.9</v>
      </c>
      <c r="AS38" s="39">
        <f t="shared" si="22"/>
        <v>132.4</v>
      </c>
      <c r="AT38" s="38">
        <f t="shared" si="23"/>
        <v>134.9</v>
      </c>
      <c r="AU38" s="39">
        <f t="shared" si="24"/>
        <v>127.4</v>
      </c>
      <c r="AV38" s="1">
        <f t="shared" si="25"/>
        <v>0</v>
      </c>
      <c r="AW38" s="1">
        <f t="shared" si="26"/>
        <v>0</v>
      </c>
      <c r="AX38" s="1">
        <f t="shared" si="27"/>
        <v>129</v>
      </c>
      <c r="AY38" s="1">
        <f t="shared" si="40"/>
        <v>133</v>
      </c>
      <c r="AZ38" s="75" t="s">
        <v>199</v>
      </c>
      <c r="BB38" s="41">
        <f aca="true" t="shared" si="103" ref="BB38:BB44">IF(BB37-BF37&lt;MAX(C37,C36),MAX(C37,C36),BB37-BF37)</f>
        <v>134.2822</v>
      </c>
      <c r="BC38" s="3">
        <f>MIN($D$36:D38)</f>
        <v>129</v>
      </c>
      <c r="BD38" s="3">
        <f t="shared" si="101"/>
        <v>5.282199999999989</v>
      </c>
      <c r="BE38" s="3">
        <f>MIN(IF(MIN($D$36:D38)&lt;MIN($D$36:D37),BE37+0.02,BE37),0.2)</f>
        <v>0.02</v>
      </c>
      <c r="BF38" s="3">
        <f t="shared" si="102"/>
        <v>0.10564399999999978</v>
      </c>
      <c r="BJ38" s="5">
        <f t="shared" si="28"/>
        <v>1.5</v>
      </c>
      <c r="BK38" s="5">
        <f t="shared" si="29"/>
        <v>0</v>
      </c>
      <c r="BL38" s="3">
        <f t="shared" si="53"/>
        <v>1.4642857142857142</v>
      </c>
      <c r="BM38" s="3">
        <f t="shared" si="54"/>
        <v>0.75</v>
      </c>
      <c r="BN38" s="30">
        <f t="shared" si="55"/>
        <v>66.12903225806451</v>
      </c>
      <c r="BO38" s="21">
        <f t="shared" si="64"/>
        <v>137.18916911622614</v>
      </c>
      <c r="BP38" s="21">
        <f t="shared" si="65"/>
        <v>127.125</v>
      </c>
      <c r="BQ38" s="21">
        <f t="shared" si="66"/>
        <v>117.06083088377386</v>
      </c>
      <c r="BR38" s="19"/>
      <c r="BS38" s="21">
        <f t="shared" si="75"/>
        <v>0.1583350106780907</v>
      </c>
      <c r="BT38" s="21">
        <f t="shared" si="76"/>
        <v>0.7670364506958681</v>
      </c>
      <c r="BU38" s="6">
        <f t="shared" si="17"/>
        <v>-448740</v>
      </c>
      <c r="BV38" s="6">
        <f t="shared" si="18"/>
        <v>-448740</v>
      </c>
      <c r="BW38" s="6">
        <f t="shared" si="30"/>
        <v>2.2436963664499783</v>
      </c>
      <c r="BX38" s="25">
        <f t="shared" si="56"/>
        <v>223793.7171382189</v>
      </c>
      <c r="BY38" s="25">
        <f t="shared" si="57"/>
        <v>334322.3053880644</v>
      </c>
      <c r="BZ38" s="26">
        <f t="shared" si="58"/>
        <v>0.18631293506082436</v>
      </c>
      <c r="CA38" s="33">
        <f t="shared" si="62"/>
        <v>1.0754570206145468</v>
      </c>
      <c r="CB38" s="27">
        <f t="shared" si="63"/>
        <v>1.1074533012859957</v>
      </c>
      <c r="CC38" s="66">
        <f t="shared" si="31"/>
        <v>131.16666666666666</v>
      </c>
      <c r="CD38" s="56">
        <f t="shared" si="32"/>
        <v>129.83333333333331</v>
      </c>
      <c r="CE38" s="66">
        <f t="shared" si="33"/>
        <v>132.33333333333331</v>
      </c>
      <c r="CF38" s="56">
        <f t="shared" si="34"/>
        <v>128.66666666666669</v>
      </c>
      <c r="CG38" s="66">
        <f t="shared" si="35"/>
        <v>133.66666666666666</v>
      </c>
      <c r="CH38" s="56">
        <f t="shared" si="36"/>
        <v>127.33333333333334</v>
      </c>
      <c r="CI38" s="66">
        <f t="shared" si="37"/>
        <v>135</v>
      </c>
      <c r="CJ38" s="56">
        <f t="shared" si="38"/>
        <v>126.16666666666669</v>
      </c>
      <c r="CK38" s="66">
        <f t="shared" si="39"/>
        <v>136.16666666666663</v>
      </c>
      <c r="CL38" s="84">
        <f t="shared" si="67"/>
        <v>132.7625</v>
      </c>
      <c r="CM38" s="84">
        <f t="shared" si="68"/>
        <v>128.5</v>
      </c>
      <c r="CN38" s="84">
        <f t="shared" si="69"/>
        <v>118.475</v>
      </c>
      <c r="CO38" s="3">
        <f t="shared" si="70"/>
        <v>-4.218401296819144</v>
      </c>
      <c r="CP38" s="3">
        <f t="shared" si="71"/>
        <v>-0.6264205666752454</v>
      </c>
      <c r="CQ38" s="3">
        <f t="shared" si="72"/>
        <v>16.137100338683652</v>
      </c>
      <c r="CR38">
        <f t="shared" si="73"/>
        <v>0.0003132370927645857</v>
      </c>
      <c r="CS38" s="3">
        <f t="shared" si="74"/>
        <v>16.13566073136452</v>
      </c>
    </row>
    <row r="39" spans="1:97" ht="12.75">
      <c r="A39" s="83">
        <v>37916</v>
      </c>
      <c r="B39" s="53">
        <v>133</v>
      </c>
      <c r="C39" s="53">
        <v>133.5</v>
      </c>
      <c r="D39" s="52">
        <v>129.5</v>
      </c>
      <c r="E39" s="52">
        <v>129.5</v>
      </c>
      <c r="F39" s="4">
        <v>1950496</v>
      </c>
      <c r="G39" s="4">
        <f t="shared" si="83"/>
        <v>0</v>
      </c>
      <c r="H39" s="4">
        <f t="shared" si="84"/>
        <v>522</v>
      </c>
      <c r="I39" s="4">
        <f t="shared" si="85"/>
        <v>0</v>
      </c>
      <c r="J39" s="9">
        <f t="shared" si="19"/>
        <v>133.25</v>
      </c>
      <c r="K39" s="9">
        <f t="shared" si="20"/>
        <v>130.75</v>
      </c>
      <c r="L39" s="6">
        <f t="shared" si="86"/>
        <v>141.6216730038023</v>
      </c>
      <c r="M39" s="6">
        <f t="shared" si="87"/>
        <v>121.62167300380229</v>
      </c>
      <c r="N39" s="13">
        <f t="shared" si="80"/>
        <v>136.7706149536889</v>
      </c>
      <c r="O39" s="13">
        <f t="shared" si="81"/>
        <v>127.65</v>
      </c>
      <c r="P39" s="13">
        <f t="shared" si="82"/>
        <v>118.52061495368889</v>
      </c>
      <c r="Q39" s="1">
        <f t="shared" si="88"/>
        <v>4</v>
      </c>
      <c r="R39" s="1">
        <f t="shared" si="89"/>
        <v>1</v>
      </c>
      <c r="S39" s="1">
        <f t="shared" si="90"/>
        <v>3</v>
      </c>
      <c r="T39" s="6">
        <f t="shared" si="91"/>
        <v>4</v>
      </c>
      <c r="U39" s="6">
        <f t="shared" si="92"/>
        <v>4</v>
      </c>
      <c r="V39" s="3">
        <f t="shared" si="93"/>
        <v>0</v>
      </c>
      <c r="W39" s="3">
        <f t="shared" si="94"/>
        <v>2</v>
      </c>
      <c r="X39" s="3">
        <f t="shared" si="95"/>
        <v>0</v>
      </c>
      <c r="Y39" s="3">
        <f t="shared" si="96"/>
        <v>2</v>
      </c>
      <c r="Z39" s="3">
        <f t="shared" si="97"/>
        <v>0</v>
      </c>
      <c r="AA39" s="3">
        <f t="shared" si="98"/>
        <v>2</v>
      </c>
      <c r="AB39" s="30">
        <f t="shared" si="45"/>
        <v>57</v>
      </c>
      <c r="AC39" s="6">
        <f t="shared" si="46"/>
        <v>14.5</v>
      </c>
      <c r="AD39" s="6">
        <f t="shared" si="47"/>
        <v>12</v>
      </c>
      <c r="AE39" s="16">
        <f t="shared" si="48"/>
        <v>25</v>
      </c>
      <c r="AF39" s="16">
        <f t="shared" si="49"/>
        <v>21</v>
      </c>
      <c r="AG39" s="1">
        <f t="shared" si="50"/>
        <v>4</v>
      </c>
      <c r="AH39" s="1">
        <f t="shared" si="51"/>
        <v>46</v>
      </c>
      <c r="AI39" s="16">
        <f t="shared" si="52"/>
        <v>9</v>
      </c>
      <c r="AJ39" s="16">
        <f t="shared" si="99"/>
        <v>26.428571428571427</v>
      </c>
      <c r="AM39" s="59">
        <f t="shared" si="100"/>
        <v>12</v>
      </c>
      <c r="AO39" s="58">
        <f>MAX($E$26:E38)-AM38</f>
        <v>121</v>
      </c>
      <c r="AQ39" s="1">
        <f t="shared" si="16"/>
        <v>130.8</v>
      </c>
      <c r="AR39" s="38">
        <f>ROUND((2*AQ38-C38),1)</f>
        <v>131.4</v>
      </c>
      <c r="AS39" s="39">
        <f t="shared" si="22"/>
        <v>133.9</v>
      </c>
      <c r="AT39" s="38">
        <f t="shared" si="23"/>
        <v>136.4</v>
      </c>
      <c r="AU39" s="39">
        <f t="shared" si="24"/>
        <v>128.9</v>
      </c>
      <c r="AV39" s="1">
        <f t="shared" si="25"/>
        <v>0</v>
      </c>
      <c r="AW39" s="1">
        <f t="shared" si="26"/>
        <v>0</v>
      </c>
      <c r="AX39" s="1">
        <f t="shared" si="27"/>
        <v>130</v>
      </c>
      <c r="AY39" s="1">
        <f t="shared" si="40"/>
        <v>134</v>
      </c>
      <c r="AZ39" s="74" t="s">
        <v>200</v>
      </c>
      <c r="BA39" s="68" t="s">
        <v>201</v>
      </c>
      <c r="BB39" s="41">
        <f t="shared" si="103"/>
        <v>134.17655599999998</v>
      </c>
      <c r="BC39" s="3">
        <f>MIN($D$36:D39)</f>
        <v>129</v>
      </c>
      <c r="BD39" s="3">
        <f t="shared" si="101"/>
        <v>5.176555999999977</v>
      </c>
      <c r="BE39" s="3">
        <f>MIN(IF(MIN($D$36:D39)&lt;MIN($D$36:D38),BE38+0.02,BE38),0.2)</f>
        <v>0.02</v>
      </c>
      <c r="BF39" s="3">
        <f t="shared" si="102"/>
        <v>0.10353111999999953</v>
      </c>
      <c r="BJ39" s="5">
        <f t="shared" si="28"/>
        <v>0</v>
      </c>
      <c r="BK39" s="5">
        <f t="shared" si="29"/>
        <v>3</v>
      </c>
      <c r="BL39" s="3">
        <f t="shared" si="53"/>
        <v>1.2857142857142858</v>
      </c>
      <c r="BM39" s="3">
        <f t="shared" si="54"/>
        <v>0.9642857142857143</v>
      </c>
      <c r="BN39" s="30">
        <f t="shared" si="55"/>
        <v>57.142857142857146</v>
      </c>
      <c r="BO39" s="21">
        <f t="shared" si="64"/>
        <v>137.0366927082972</v>
      </c>
      <c r="BP39" s="21">
        <f t="shared" si="65"/>
        <v>127.65</v>
      </c>
      <c r="BQ39" s="21">
        <f t="shared" si="66"/>
        <v>118.2633072917028</v>
      </c>
      <c r="BR39" s="19"/>
      <c r="BS39" s="21">
        <f t="shared" si="75"/>
        <v>0.14706921595451944</v>
      </c>
      <c r="BT39" s="21">
        <f t="shared" si="76"/>
        <v>0.5985437606988412</v>
      </c>
      <c r="BU39" s="6">
        <f t="shared" si="17"/>
        <v>-1950496</v>
      </c>
      <c r="BV39" s="6">
        <f t="shared" si="18"/>
        <v>-1706684</v>
      </c>
      <c r="BW39" s="6">
        <f t="shared" si="30"/>
        <v>-1.9504937563036335</v>
      </c>
      <c r="BX39" s="25">
        <f t="shared" si="56"/>
        <v>-155172.64000463815</v>
      </c>
      <c r="BY39" s="25">
        <f t="shared" si="57"/>
        <v>116558.21967377866</v>
      </c>
      <c r="BZ39" s="26">
        <f t="shared" si="58"/>
        <v>-0.1926535994013506</v>
      </c>
      <c r="CA39" s="33">
        <f t="shared" si="62"/>
        <v>1.0564516129032258</v>
      </c>
      <c r="CB39" s="27">
        <f t="shared" si="63"/>
        <v>0.7785816812068518</v>
      </c>
      <c r="CC39" s="66">
        <f t="shared" si="31"/>
        <v>132.66666666666666</v>
      </c>
      <c r="CD39" s="56">
        <f t="shared" si="32"/>
        <v>131.33333333333331</v>
      </c>
      <c r="CE39" s="66">
        <f t="shared" si="33"/>
        <v>133.83333333333331</v>
      </c>
      <c r="CF39" s="56">
        <f t="shared" si="34"/>
        <v>130.16666666666669</v>
      </c>
      <c r="CG39" s="66">
        <f t="shared" si="35"/>
        <v>135.16666666666666</v>
      </c>
      <c r="CH39" s="56">
        <f t="shared" si="36"/>
        <v>128.83333333333334</v>
      </c>
      <c r="CI39" s="66">
        <f t="shared" si="37"/>
        <v>136.5</v>
      </c>
      <c r="CJ39" s="56">
        <f t="shared" si="38"/>
        <v>127.66666666666669</v>
      </c>
      <c r="CK39" s="66">
        <f t="shared" si="39"/>
        <v>137.66666666666663</v>
      </c>
      <c r="CL39" s="84">
        <f t="shared" si="67"/>
        <v>132.7625</v>
      </c>
      <c r="CM39" s="84">
        <f t="shared" si="68"/>
        <v>129.25</v>
      </c>
      <c r="CN39" s="84">
        <f t="shared" si="69"/>
        <v>118.7125</v>
      </c>
      <c r="CO39" s="3">
        <f t="shared" si="70"/>
        <v>-3.6942862761766</v>
      </c>
      <c r="CP39" s="3">
        <f t="shared" si="71"/>
        <v>-0.8490669022049026</v>
      </c>
      <c r="CQ39" s="3">
        <f t="shared" si="72"/>
        <v>13.776174590021743</v>
      </c>
      <c r="CR39">
        <f t="shared" si="73"/>
        <v>0.0010198626730964179</v>
      </c>
      <c r="CS39" s="3">
        <f t="shared" si="74"/>
        <v>13.776603736914694</v>
      </c>
    </row>
    <row r="40" spans="1:97" ht="12.75">
      <c r="A40" s="83">
        <v>37917</v>
      </c>
      <c r="B40" s="52">
        <v>128</v>
      </c>
      <c r="C40" s="52">
        <v>130</v>
      </c>
      <c r="D40" s="52">
        <v>127</v>
      </c>
      <c r="E40" s="52">
        <v>128.5</v>
      </c>
      <c r="F40" s="4">
        <v>2470871</v>
      </c>
      <c r="G40" s="4">
        <f t="shared" si="83"/>
        <v>515.5</v>
      </c>
      <c r="H40" s="4">
        <f t="shared" si="84"/>
        <v>0</v>
      </c>
      <c r="I40" s="4">
        <f t="shared" si="85"/>
        <v>0</v>
      </c>
      <c r="J40" s="9">
        <f t="shared" si="19"/>
        <v>131.5</v>
      </c>
      <c r="K40" s="9">
        <f t="shared" si="20"/>
        <v>127.5</v>
      </c>
      <c r="L40" s="6">
        <f t="shared" si="86"/>
        <v>136.07003891050584</v>
      </c>
      <c r="M40" s="6">
        <f t="shared" si="87"/>
        <v>121.07003891050583</v>
      </c>
      <c r="N40" s="13">
        <f t="shared" si="80"/>
        <v>137.49816148520145</v>
      </c>
      <c r="O40" s="13">
        <f t="shared" si="81"/>
        <v>128.175</v>
      </c>
      <c r="P40" s="13">
        <f t="shared" si="82"/>
        <v>118.87316148520145</v>
      </c>
      <c r="Q40" s="1">
        <f t="shared" si="88"/>
        <v>3</v>
      </c>
      <c r="R40" s="1">
        <f t="shared" si="89"/>
        <v>0.5</v>
      </c>
      <c r="S40" s="1">
        <f t="shared" si="90"/>
        <v>2.5</v>
      </c>
      <c r="T40" s="6">
        <f t="shared" si="91"/>
        <v>3</v>
      </c>
      <c r="U40" s="6">
        <f t="shared" si="92"/>
        <v>3</v>
      </c>
      <c r="V40" s="3">
        <f t="shared" si="93"/>
        <v>0</v>
      </c>
      <c r="W40" s="3">
        <f t="shared" si="94"/>
        <v>2.5</v>
      </c>
      <c r="X40" s="3">
        <f t="shared" si="95"/>
        <v>0</v>
      </c>
      <c r="Y40" s="3">
        <f t="shared" si="96"/>
        <v>2.5</v>
      </c>
      <c r="Z40" s="3">
        <f t="shared" si="97"/>
        <v>0</v>
      </c>
      <c r="AA40" s="3">
        <f t="shared" si="98"/>
        <v>2.5</v>
      </c>
      <c r="AB40" s="30">
        <f t="shared" si="45"/>
        <v>53</v>
      </c>
      <c r="AC40" s="6">
        <f t="shared" si="46"/>
        <v>7.5</v>
      </c>
      <c r="AD40" s="6">
        <f t="shared" si="47"/>
        <v>14.5</v>
      </c>
      <c r="AE40" s="16">
        <f t="shared" si="48"/>
        <v>14</v>
      </c>
      <c r="AF40" s="16">
        <f t="shared" si="49"/>
        <v>27</v>
      </c>
      <c r="AG40" s="1">
        <f t="shared" si="50"/>
        <v>13</v>
      </c>
      <c r="AH40" s="1">
        <f t="shared" si="51"/>
        <v>41</v>
      </c>
      <c r="AI40" s="16">
        <f t="shared" si="52"/>
        <v>32</v>
      </c>
      <c r="AJ40" s="16">
        <f t="shared" si="99"/>
        <v>27.357142857142858</v>
      </c>
      <c r="AM40" s="59">
        <f t="shared" si="100"/>
        <v>12</v>
      </c>
      <c r="AO40" s="58">
        <f>MAX($E$26:E39)-AM39</f>
        <v>121</v>
      </c>
      <c r="AQ40" s="1">
        <f t="shared" si="16"/>
        <v>128.5</v>
      </c>
      <c r="AR40" s="38">
        <f t="shared" si="21"/>
        <v>128.1</v>
      </c>
      <c r="AS40" s="39">
        <f t="shared" si="22"/>
        <v>132.1</v>
      </c>
      <c r="AT40" s="38">
        <f t="shared" si="23"/>
        <v>136.1</v>
      </c>
      <c r="AU40" s="39">
        <f t="shared" si="24"/>
        <v>124.1</v>
      </c>
      <c r="AV40" s="1">
        <f t="shared" si="25"/>
        <v>0</v>
      </c>
      <c r="AW40" s="1">
        <f t="shared" si="26"/>
        <v>0</v>
      </c>
      <c r="AX40" s="1">
        <f t="shared" si="27"/>
        <v>129.5</v>
      </c>
      <c r="AY40" s="1">
        <f t="shared" si="40"/>
        <v>134</v>
      </c>
      <c r="AZ40" s="73" t="s">
        <v>186</v>
      </c>
      <c r="BB40" s="41">
        <f t="shared" si="103"/>
        <v>134.07302488</v>
      </c>
      <c r="BC40" s="3">
        <f>MIN($D$36:D40)</f>
        <v>127</v>
      </c>
      <c r="BD40" s="3">
        <f t="shared" si="101"/>
        <v>7.073024879999991</v>
      </c>
      <c r="BE40" s="3">
        <f>MIN(IF(MIN($D$36:D40)&lt;MIN($D$36:D39),BE39+0.02,BE39),0.2)</f>
        <v>0.04</v>
      </c>
      <c r="BF40" s="3">
        <f t="shared" si="102"/>
        <v>0.28292099519999964</v>
      </c>
      <c r="BJ40" s="5">
        <f t="shared" si="28"/>
        <v>0</v>
      </c>
      <c r="BK40" s="5">
        <f t="shared" si="29"/>
        <v>1</v>
      </c>
      <c r="BL40" s="3">
        <f t="shared" si="53"/>
        <v>0.8928571428571429</v>
      </c>
      <c r="BM40" s="3">
        <f t="shared" si="54"/>
        <v>1.0357142857142858</v>
      </c>
      <c r="BN40" s="30">
        <f t="shared" si="55"/>
        <v>46.2962962962963</v>
      </c>
      <c r="BO40" s="21">
        <f t="shared" si="64"/>
        <v>136.45313384767366</v>
      </c>
      <c r="BP40" s="21">
        <f t="shared" si="65"/>
        <v>128.175</v>
      </c>
      <c r="BQ40" s="21">
        <f t="shared" si="66"/>
        <v>119.89686615232637</v>
      </c>
      <c r="BR40" s="19"/>
      <c r="BS40" s="21">
        <f t="shared" si="75"/>
        <v>0.12916924279576583</v>
      </c>
      <c r="BT40" s="21">
        <f t="shared" si="76"/>
        <v>0.5196300280945156</v>
      </c>
      <c r="BU40" s="6">
        <f t="shared" si="17"/>
        <v>0</v>
      </c>
      <c r="BV40" s="6">
        <f t="shared" si="18"/>
        <v>411811.8333333333</v>
      </c>
      <c r="BW40" s="6">
        <f t="shared" si="30"/>
        <v>-2.470872950493756</v>
      </c>
      <c r="BX40" s="25">
        <f t="shared" si="56"/>
        <v>-280921.4711734693</v>
      </c>
      <c r="BY40" s="25">
        <f t="shared" si="57"/>
        <v>-30075.01301020405</v>
      </c>
      <c r="BZ40" s="26">
        <f t="shared" si="58"/>
        <v>-0.6457921926535993</v>
      </c>
      <c r="CA40" s="33">
        <f t="shared" si="62"/>
        <v>1.0395512454839322</v>
      </c>
      <c r="CB40" s="27">
        <f t="shared" si="63"/>
        <v>0.7025779872926446</v>
      </c>
      <c r="CC40" s="66">
        <f t="shared" si="31"/>
        <v>130.83333333333334</v>
      </c>
      <c r="CD40" s="56">
        <f t="shared" si="32"/>
        <v>128.16666666666669</v>
      </c>
      <c r="CE40" s="66">
        <f t="shared" si="33"/>
        <v>132.16666666666669</v>
      </c>
      <c r="CF40" s="56">
        <f t="shared" si="34"/>
        <v>126.83333333333331</v>
      </c>
      <c r="CG40" s="66">
        <f t="shared" si="35"/>
        <v>134.83333333333334</v>
      </c>
      <c r="CH40" s="56">
        <f t="shared" si="36"/>
        <v>124.16666666666666</v>
      </c>
      <c r="CI40" s="66">
        <f t="shared" si="37"/>
        <v>137.5</v>
      </c>
      <c r="CJ40" s="56">
        <f t="shared" si="38"/>
        <v>122.83333333333331</v>
      </c>
      <c r="CK40" s="66">
        <f t="shared" si="39"/>
        <v>138.83333333333337</v>
      </c>
      <c r="CL40" s="84">
        <f t="shared" si="67"/>
        <v>132.7625</v>
      </c>
      <c r="CM40" s="84">
        <f t="shared" si="68"/>
        <v>129.25</v>
      </c>
      <c r="CN40" s="84">
        <f t="shared" si="69"/>
        <v>119.975</v>
      </c>
      <c r="CO40" s="3">
        <f t="shared" si="70"/>
        <v>-3.298607578418059</v>
      </c>
      <c r="CP40" s="3">
        <f t="shared" si="71"/>
        <v>-0.9655061875876828</v>
      </c>
      <c r="CQ40" s="3">
        <f t="shared" si="72"/>
        <v>12.174683957897882</v>
      </c>
      <c r="CR40">
        <f t="shared" si="73"/>
        <v>0.002271438429231996</v>
      </c>
      <c r="CS40" s="3">
        <f t="shared" si="74"/>
        <v>12.174935830400525</v>
      </c>
    </row>
    <row r="41" spans="1:97" ht="12.75">
      <c r="A41" s="83">
        <v>37918</v>
      </c>
      <c r="B41" s="53">
        <v>128.5</v>
      </c>
      <c r="C41" s="52">
        <v>130.5</v>
      </c>
      <c r="D41" s="53">
        <v>128.5</v>
      </c>
      <c r="E41" s="52">
        <v>129.5</v>
      </c>
      <c r="F41" s="4">
        <v>1358570</v>
      </c>
      <c r="G41" s="4">
        <f t="shared" si="83"/>
        <v>519</v>
      </c>
      <c r="H41" s="4">
        <f t="shared" si="84"/>
        <v>0</v>
      </c>
      <c r="I41" s="4">
        <f t="shared" si="85"/>
        <v>0</v>
      </c>
      <c r="J41" s="9">
        <f t="shared" si="19"/>
        <v>130.75</v>
      </c>
      <c r="K41" s="9">
        <f t="shared" si="20"/>
        <v>127.75</v>
      </c>
      <c r="L41" s="6">
        <f t="shared" si="86"/>
        <v>134.53088803088804</v>
      </c>
      <c r="M41" s="6">
        <f t="shared" si="87"/>
        <v>124.53088803088802</v>
      </c>
      <c r="N41" s="13">
        <f t="shared" si="80"/>
        <v>137.7411435188812</v>
      </c>
      <c r="O41" s="13">
        <f t="shared" si="81"/>
        <v>128.675</v>
      </c>
      <c r="P41" s="13">
        <f t="shared" si="82"/>
        <v>119.74114351888116</v>
      </c>
      <c r="Q41" s="1">
        <f t="shared" si="88"/>
        <v>2</v>
      </c>
      <c r="R41" s="1">
        <f t="shared" si="89"/>
        <v>2</v>
      </c>
      <c r="S41" s="1">
        <f t="shared" si="90"/>
        <v>0</v>
      </c>
      <c r="T41" s="6">
        <f t="shared" si="91"/>
        <v>2</v>
      </c>
      <c r="U41" s="6">
        <f t="shared" si="92"/>
        <v>2</v>
      </c>
      <c r="V41" s="3">
        <f t="shared" si="93"/>
        <v>0.5</v>
      </c>
      <c r="W41" s="3">
        <f t="shared" si="94"/>
        <v>0</v>
      </c>
      <c r="X41" s="3">
        <f t="shared" si="95"/>
        <v>0.5</v>
      </c>
      <c r="Y41" s="3">
        <f t="shared" si="96"/>
        <v>0</v>
      </c>
      <c r="Z41" s="3">
        <f t="shared" si="97"/>
        <v>0.5</v>
      </c>
      <c r="AA41" s="3">
        <f t="shared" si="98"/>
        <v>0</v>
      </c>
      <c r="AB41" s="30">
        <f>SUM(U28:U41)</f>
        <v>52.5</v>
      </c>
      <c r="AC41" s="6">
        <f>SUM(Z28:Z41)</f>
        <v>8</v>
      </c>
      <c r="AD41" s="6">
        <f>SUM(AA28:AA41)</f>
        <v>14.5</v>
      </c>
      <c r="AE41" s="16">
        <f>ROUND(((AC41/AB41)*100),0)</f>
        <v>15</v>
      </c>
      <c r="AF41" s="16">
        <f>ROUND(((AD41/AB41)*100),0)</f>
        <v>28</v>
      </c>
      <c r="AG41" s="1">
        <f>ABS(AE41-AF41)</f>
        <v>13</v>
      </c>
      <c r="AH41" s="1">
        <f>AE41+AF41</f>
        <v>43</v>
      </c>
      <c r="AI41" s="16">
        <f>ROUND(((AG41/AH41)*100),0)</f>
        <v>30</v>
      </c>
      <c r="AJ41" s="16">
        <f t="shared" si="99"/>
        <v>27.857142857142858</v>
      </c>
      <c r="AM41" s="59">
        <f t="shared" si="100"/>
        <v>12</v>
      </c>
      <c r="AO41" s="58">
        <f>MAX($E$26:E40)-AM40</f>
        <v>121</v>
      </c>
      <c r="AQ41" s="1">
        <f t="shared" si="16"/>
        <v>129.5</v>
      </c>
      <c r="AR41" s="38">
        <f t="shared" si="21"/>
        <v>127</v>
      </c>
      <c r="AS41" s="39">
        <f t="shared" si="22"/>
        <v>130</v>
      </c>
      <c r="AT41" s="38">
        <f t="shared" si="23"/>
        <v>133</v>
      </c>
      <c r="AU41" s="39">
        <f t="shared" si="24"/>
        <v>124</v>
      </c>
      <c r="AV41" s="1">
        <f t="shared" si="25"/>
        <v>0</v>
      </c>
      <c r="AW41" s="1">
        <f t="shared" si="26"/>
        <v>0</v>
      </c>
      <c r="AX41" s="1">
        <f t="shared" si="27"/>
        <v>127</v>
      </c>
      <c r="AY41" s="1">
        <f t="shared" si="40"/>
        <v>133.5</v>
      </c>
      <c r="AZ41" s="75" t="s">
        <v>202</v>
      </c>
      <c r="BA41" s="68" t="s">
        <v>203</v>
      </c>
      <c r="BB41" s="41">
        <f t="shared" si="103"/>
        <v>133.7901038848</v>
      </c>
      <c r="BC41" s="3">
        <f>MIN($D$36:D41)</f>
        <v>127</v>
      </c>
      <c r="BD41" s="3">
        <f t="shared" si="101"/>
        <v>6.790103884800004</v>
      </c>
      <c r="BE41" s="3">
        <f>MIN(IF(MIN($D$36:D41)&lt;MIN($D$36:D40),BE40+0.02,BE40),0.2)</f>
        <v>0.04</v>
      </c>
      <c r="BF41" s="3">
        <f t="shared" si="102"/>
        <v>0.27160415539200017</v>
      </c>
      <c r="BJ41" s="5">
        <f t="shared" si="28"/>
        <v>1</v>
      </c>
      <c r="BK41" s="5">
        <f t="shared" si="29"/>
        <v>0</v>
      </c>
      <c r="BL41" s="3">
        <f t="shared" si="53"/>
        <v>0.9642857142857143</v>
      </c>
      <c r="BM41" s="3">
        <f t="shared" si="54"/>
        <v>0.9285714285714286</v>
      </c>
      <c r="BN41" s="30">
        <f t="shared" si="55"/>
        <v>50.94339622641509</v>
      </c>
      <c r="BO41" s="21">
        <f t="shared" si="64"/>
        <v>135.94325288497862</v>
      </c>
      <c r="BP41" s="21">
        <f t="shared" si="65"/>
        <v>128.675</v>
      </c>
      <c r="BQ41" s="21">
        <f t="shared" si="66"/>
        <v>121.40674711502139</v>
      </c>
      <c r="BR41" s="19"/>
      <c r="BS41" s="21">
        <f t="shared" si="75"/>
        <v>0.11297070736318034</v>
      </c>
      <c r="BT41" s="21">
        <f t="shared" si="76"/>
        <v>0.5567536664626126</v>
      </c>
      <c r="BU41" s="6">
        <f t="shared" si="17"/>
        <v>0</v>
      </c>
      <c r="BV41" s="6">
        <f t="shared" si="18"/>
        <v>679285</v>
      </c>
      <c r="BW41" s="6">
        <f t="shared" si="30"/>
        <v>1.3585675291270496</v>
      </c>
      <c r="BX41" s="25">
        <f t="shared" si="56"/>
        <v>-254410.75688775507</v>
      </c>
      <c r="BY41" s="25">
        <f t="shared" si="57"/>
        <v>71466.77270408165</v>
      </c>
      <c r="BZ41" s="26">
        <f t="shared" si="58"/>
        <v>-0.41619836007790684</v>
      </c>
      <c r="CA41" s="33">
        <f t="shared" si="62"/>
        <v>1.023391812865497</v>
      </c>
      <c r="CB41" s="27">
        <f t="shared" si="63"/>
        <v>0.6085417115068731</v>
      </c>
      <c r="CC41" s="66">
        <f t="shared" si="31"/>
        <v>128.5</v>
      </c>
      <c r="CD41" s="56">
        <f t="shared" si="32"/>
        <v>127</v>
      </c>
      <c r="CE41" s="66">
        <f t="shared" si="33"/>
        <v>130</v>
      </c>
      <c r="CF41" s="56">
        <f t="shared" si="34"/>
        <v>125.5</v>
      </c>
      <c r="CG41" s="66">
        <f t="shared" si="35"/>
        <v>131.5</v>
      </c>
      <c r="CH41" s="56">
        <f t="shared" si="36"/>
        <v>124</v>
      </c>
      <c r="CI41" s="66">
        <f t="shared" si="37"/>
        <v>133</v>
      </c>
      <c r="CJ41" s="56">
        <f t="shared" si="38"/>
        <v>122.5</v>
      </c>
      <c r="CK41" s="66">
        <f t="shared" si="39"/>
        <v>134.5</v>
      </c>
      <c r="CL41" s="84">
        <f t="shared" si="67"/>
        <v>132.7625</v>
      </c>
      <c r="CM41" s="84">
        <f t="shared" si="68"/>
        <v>129.5</v>
      </c>
      <c r="CN41" s="84">
        <f t="shared" si="69"/>
        <v>120.7375</v>
      </c>
      <c r="CO41" s="3">
        <f t="shared" si="70"/>
        <v>-2.5970347479119344</v>
      </c>
      <c r="CP41" s="3">
        <f t="shared" si="71"/>
        <v>-1.1371258355611364</v>
      </c>
      <c r="CQ41" s="3">
        <f t="shared" si="72"/>
        <v>9.93067512122038</v>
      </c>
      <c r="CR41">
        <f t="shared" si="73"/>
        <v>0.0069755956256060654</v>
      </c>
      <c r="CS41" s="3">
        <f t="shared" si="74"/>
        <v>9.930604674057708</v>
      </c>
    </row>
    <row r="42" spans="1:97" ht="12.75">
      <c r="A42" s="83">
        <v>37921</v>
      </c>
      <c r="B42" s="53">
        <v>130</v>
      </c>
      <c r="C42" s="53">
        <v>130.5</v>
      </c>
      <c r="D42" s="52">
        <v>128.5</v>
      </c>
      <c r="E42" s="52">
        <v>130</v>
      </c>
      <c r="F42" s="4">
        <v>1768782</v>
      </c>
      <c r="G42" s="4">
        <f t="shared" si="83"/>
        <v>0</v>
      </c>
      <c r="H42" s="4">
        <f t="shared" si="84"/>
        <v>0</v>
      </c>
      <c r="I42" s="4">
        <f t="shared" si="85"/>
        <v>519</v>
      </c>
      <c r="J42" s="9">
        <f t="shared" si="19"/>
        <v>131</v>
      </c>
      <c r="K42" s="9">
        <f t="shared" si="20"/>
        <v>129</v>
      </c>
      <c r="L42" s="6">
        <f t="shared" si="86"/>
        <v>134.53088803088804</v>
      </c>
      <c r="M42" s="6">
        <f t="shared" si="87"/>
        <v>124.53088803088802</v>
      </c>
      <c r="N42" s="13">
        <f t="shared" si="80"/>
        <v>137.83615730818065</v>
      </c>
      <c r="O42" s="13">
        <f t="shared" si="81"/>
        <v>129.125</v>
      </c>
      <c r="P42" s="13">
        <f t="shared" si="82"/>
        <v>120.33615730818062</v>
      </c>
      <c r="Q42" s="1">
        <f t="shared" si="88"/>
        <v>2</v>
      </c>
      <c r="R42" s="1">
        <f t="shared" si="89"/>
        <v>1</v>
      </c>
      <c r="S42" s="1">
        <f t="shared" si="90"/>
        <v>1</v>
      </c>
      <c r="T42" s="6">
        <f t="shared" si="91"/>
        <v>2</v>
      </c>
      <c r="U42" s="6">
        <f t="shared" si="92"/>
        <v>2</v>
      </c>
      <c r="V42" s="3">
        <f t="shared" si="93"/>
        <v>0</v>
      </c>
      <c r="W42" s="3">
        <f t="shared" si="94"/>
        <v>0</v>
      </c>
      <c r="X42" s="3">
        <f t="shared" si="95"/>
        <v>0</v>
      </c>
      <c r="Y42" s="3">
        <f t="shared" si="96"/>
        <v>0</v>
      </c>
      <c r="Z42" s="3">
        <f t="shared" si="97"/>
        <v>0</v>
      </c>
      <c r="AA42" s="3">
        <f t="shared" si="98"/>
        <v>0</v>
      </c>
      <c r="AB42" s="30">
        <f aca="true" t="shared" si="104" ref="AB42:AB49">SUM(U29:U42)</f>
        <v>51</v>
      </c>
      <c r="AC42" s="6">
        <f aca="true" t="shared" si="105" ref="AC42:AC49">SUM(Z29:Z42)</f>
        <v>8</v>
      </c>
      <c r="AD42" s="6">
        <f aca="true" t="shared" si="106" ref="AD42:AD49">SUM(AA29:AA42)</f>
        <v>12</v>
      </c>
      <c r="AE42" s="16">
        <f aca="true" t="shared" si="107" ref="AE42:AE48">ROUND(((AC42/AB42)*100),0)</f>
        <v>16</v>
      </c>
      <c r="AF42" s="16">
        <f aca="true" t="shared" si="108" ref="AF42:AF48">ROUND(TRUNC((AD42/AB42)*100),0)</f>
        <v>23</v>
      </c>
      <c r="AG42" s="1">
        <f aca="true" t="shared" si="109" ref="AG42:AG48">ABS(AE42-AF42)</f>
        <v>7</v>
      </c>
      <c r="AH42" s="1">
        <f aca="true" t="shared" si="110" ref="AH42:AH48">AE42+AF42</f>
        <v>39</v>
      </c>
      <c r="AI42" s="16">
        <f aca="true" t="shared" si="111" ref="AI42:AI48">ROUND(((AG42/AH42)*100),0)</f>
        <v>18</v>
      </c>
      <c r="AJ42" s="16">
        <f t="shared" si="99"/>
        <v>28.571428571428573</v>
      </c>
      <c r="AM42" s="59">
        <f t="shared" si="100"/>
        <v>9</v>
      </c>
      <c r="AO42" s="58">
        <f>MAX($E$26:E41)-AM41</f>
        <v>121</v>
      </c>
      <c r="AQ42" s="1">
        <f t="shared" si="16"/>
        <v>129.7</v>
      </c>
      <c r="AR42" s="38">
        <f t="shared" si="21"/>
        <v>128.5</v>
      </c>
      <c r="AS42" s="39">
        <f t="shared" si="22"/>
        <v>130.5</v>
      </c>
      <c r="AT42" s="38">
        <f t="shared" si="23"/>
        <v>132.5</v>
      </c>
      <c r="AU42" s="39">
        <f t="shared" si="24"/>
        <v>126.5</v>
      </c>
      <c r="AV42" s="1">
        <f t="shared" si="25"/>
        <v>0</v>
      </c>
      <c r="AW42" s="1">
        <f t="shared" si="26"/>
        <v>0</v>
      </c>
      <c r="AX42" s="1">
        <f t="shared" si="27"/>
        <v>127</v>
      </c>
      <c r="AY42" s="1">
        <f t="shared" si="40"/>
        <v>130.5</v>
      </c>
      <c r="AZ42" s="74" t="s">
        <v>204</v>
      </c>
      <c r="BA42" s="68" t="s">
        <v>205</v>
      </c>
      <c r="BB42" s="41">
        <f t="shared" si="103"/>
        <v>133.518499729408</v>
      </c>
      <c r="BC42" s="3">
        <f>MIN($D$36:D42)</f>
        <v>127</v>
      </c>
      <c r="BD42" s="3">
        <f t="shared" si="101"/>
        <v>6.518499729408006</v>
      </c>
      <c r="BE42" s="3">
        <f>MIN(IF(MIN($D$36:D42)&lt;MIN($D$36:D41),BE41+0.02,BE41),0.2)</f>
        <v>0.04</v>
      </c>
      <c r="BF42" s="3">
        <f t="shared" si="102"/>
        <v>0.26073998917632024</v>
      </c>
      <c r="BJ42" s="5">
        <f t="shared" si="28"/>
        <v>0.5</v>
      </c>
      <c r="BK42" s="5">
        <f t="shared" si="29"/>
        <v>0</v>
      </c>
      <c r="BL42" s="3">
        <f t="shared" si="53"/>
        <v>1</v>
      </c>
      <c r="BM42" s="3">
        <f t="shared" si="54"/>
        <v>0.8571428571428571</v>
      </c>
      <c r="BN42" s="30">
        <f t="shared" si="55"/>
        <v>53.846153846153854</v>
      </c>
      <c r="BO42" s="21">
        <f t="shared" si="64"/>
        <v>135.49583197078687</v>
      </c>
      <c r="BP42" s="21">
        <f t="shared" si="65"/>
        <v>129.125</v>
      </c>
      <c r="BQ42" s="21">
        <f t="shared" si="66"/>
        <v>122.75416802921313</v>
      </c>
      <c r="BR42" s="19"/>
      <c r="BS42" s="21">
        <f t="shared" si="75"/>
        <v>0.09867697147394953</v>
      </c>
      <c r="BT42" s="21">
        <f t="shared" si="76"/>
        <v>0.5686723495465168</v>
      </c>
      <c r="BU42" s="6">
        <f t="shared" si="17"/>
        <v>884391</v>
      </c>
      <c r="BV42" s="6">
        <f t="shared" si="18"/>
        <v>0</v>
      </c>
      <c r="BW42" s="6">
        <f t="shared" si="30"/>
        <v>1.7687833585675292</v>
      </c>
      <c r="BX42" s="25">
        <f t="shared" si="56"/>
        <v>-312576.49498299323</v>
      </c>
      <c r="BY42" s="25">
        <f t="shared" si="57"/>
        <v>10798.510799319733</v>
      </c>
      <c r="BZ42" s="26">
        <f t="shared" si="58"/>
        <v>-0.10785177334121725</v>
      </c>
      <c r="CA42" s="33">
        <f t="shared" si="62"/>
        <v>1.0115456238361267</v>
      </c>
      <c r="CB42" s="27">
        <f t="shared" si="63"/>
        <v>0.5732397795766837</v>
      </c>
      <c r="CC42" s="66">
        <f t="shared" si="31"/>
        <v>129.5</v>
      </c>
      <c r="CD42" s="56">
        <f t="shared" si="32"/>
        <v>128.5</v>
      </c>
      <c r="CE42" s="66">
        <f t="shared" si="33"/>
        <v>130.5</v>
      </c>
      <c r="CF42" s="56">
        <f t="shared" si="34"/>
        <v>127.5</v>
      </c>
      <c r="CG42" s="66">
        <f t="shared" si="35"/>
        <v>131.5</v>
      </c>
      <c r="CH42" s="56">
        <f t="shared" si="36"/>
        <v>126.5</v>
      </c>
      <c r="CI42" s="66">
        <f t="shared" si="37"/>
        <v>132.5</v>
      </c>
      <c r="CJ42" s="56">
        <f t="shared" si="38"/>
        <v>125.5</v>
      </c>
      <c r="CK42" s="66">
        <f t="shared" si="39"/>
        <v>133.5</v>
      </c>
      <c r="CL42" s="84">
        <f t="shared" si="67"/>
        <v>132.7625</v>
      </c>
      <c r="CM42" s="84">
        <f t="shared" si="68"/>
        <v>129.75</v>
      </c>
      <c r="CN42" s="84">
        <f t="shared" si="69"/>
        <v>121.45</v>
      </c>
      <c r="CO42" s="3">
        <f t="shared" si="70"/>
        <v>-1.2675276174412229</v>
      </c>
      <c r="CP42" s="3">
        <f t="shared" si="71"/>
        <v>-1.3892630829700632</v>
      </c>
      <c r="CQ42" s="3">
        <f t="shared" si="72"/>
        <v>7.772361596491801</v>
      </c>
      <c r="CR42">
        <f t="shared" si="73"/>
        <v>0.020523580241251102</v>
      </c>
      <c r="CS42" s="3">
        <f t="shared" si="74"/>
        <v>7.772356420899379</v>
      </c>
    </row>
    <row r="43" spans="1:97" ht="12.75">
      <c r="A43" s="83">
        <v>37922</v>
      </c>
      <c r="B43" s="53">
        <v>130.5</v>
      </c>
      <c r="C43" s="52">
        <v>131.5</v>
      </c>
      <c r="D43" s="53">
        <v>130</v>
      </c>
      <c r="E43" s="52">
        <v>131</v>
      </c>
      <c r="F43" s="4">
        <v>1919096</v>
      </c>
      <c r="G43" s="4">
        <f t="shared" si="83"/>
        <v>524</v>
      </c>
      <c r="H43" s="4">
        <f t="shared" si="84"/>
        <v>0</v>
      </c>
      <c r="I43" s="4">
        <f t="shared" si="85"/>
        <v>0</v>
      </c>
      <c r="J43" s="9">
        <f t="shared" si="19"/>
        <v>131</v>
      </c>
      <c r="K43" s="9">
        <f t="shared" si="20"/>
        <v>129</v>
      </c>
      <c r="L43" s="6">
        <f t="shared" si="86"/>
        <v>134.51720841300192</v>
      </c>
      <c r="M43" s="6">
        <f t="shared" si="87"/>
        <v>127.01720841300191</v>
      </c>
      <c r="N43" s="13">
        <f t="shared" si="80"/>
        <v>138.10692417373716</v>
      </c>
      <c r="O43" s="13">
        <f t="shared" si="81"/>
        <v>129.65</v>
      </c>
      <c r="P43" s="13">
        <f t="shared" si="82"/>
        <v>121.10692417373716</v>
      </c>
      <c r="Q43" s="1">
        <f t="shared" si="88"/>
        <v>1.5</v>
      </c>
      <c r="R43" s="1">
        <f t="shared" si="89"/>
        <v>1.5</v>
      </c>
      <c r="S43" s="1">
        <f t="shared" si="90"/>
        <v>0</v>
      </c>
      <c r="T43" s="6">
        <f t="shared" si="91"/>
        <v>1.5</v>
      </c>
      <c r="U43" s="6">
        <f t="shared" si="92"/>
        <v>1.5</v>
      </c>
      <c r="V43" s="3">
        <f t="shared" si="93"/>
        <v>1</v>
      </c>
      <c r="W43" s="3">
        <f t="shared" si="94"/>
        <v>0</v>
      </c>
      <c r="X43" s="3">
        <f t="shared" si="95"/>
        <v>1</v>
      </c>
      <c r="Y43" s="3">
        <f t="shared" si="96"/>
        <v>0</v>
      </c>
      <c r="Z43" s="3">
        <f t="shared" si="97"/>
        <v>1</v>
      </c>
      <c r="AA43" s="3">
        <f t="shared" si="98"/>
        <v>0</v>
      </c>
      <c r="AB43" s="30">
        <f t="shared" si="104"/>
        <v>49</v>
      </c>
      <c r="AC43" s="6">
        <f t="shared" si="105"/>
        <v>7.5</v>
      </c>
      <c r="AD43" s="6">
        <f t="shared" si="106"/>
        <v>12</v>
      </c>
      <c r="AE43" s="16">
        <f t="shared" si="107"/>
        <v>15</v>
      </c>
      <c r="AF43" s="16">
        <f t="shared" si="108"/>
        <v>24</v>
      </c>
      <c r="AG43" s="1">
        <f t="shared" si="109"/>
        <v>9</v>
      </c>
      <c r="AH43" s="1">
        <f t="shared" si="110"/>
        <v>39</v>
      </c>
      <c r="AI43" s="16">
        <f t="shared" si="111"/>
        <v>23</v>
      </c>
      <c r="AJ43" s="16">
        <f t="shared" si="99"/>
        <v>28.857142857142858</v>
      </c>
      <c r="AK43" s="16">
        <f>ROUND((AJ29+AJ43)/2,0)</f>
        <v>28</v>
      </c>
      <c r="AL43" s="16">
        <f>AB43*AK43</f>
        <v>1372</v>
      </c>
      <c r="AM43" s="59">
        <f t="shared" si="100"/>
        <v>8</v>
      </c>
      <c r="AO43" s="58">
        <f>MAX($E$26:E42)-AM42</f>
        <v>124</v>
      </c>
      <c r="AQ43" s="1">
        <f t="shared" si="16"/>
        <v>130.8</v>
      </c>
      <c r="AR43" s="38">
        <f t="shared" si="21"/>
        <v>128.9</v>
      </c>
      <c r="AS43" s="39">
        <f t="shared" si="22"/>
        <v>130.9</v>
      </c>
      <c r="AT43" s="38">
        <f t="shared" si="23"/>
        <v>132.9</v>
      </c>
      <c r="AU43" s="39">
        <f t="shared" si="24"/>
        <v>126.9</v>
      </c>
      <c r="AV43" s="1">
        <f t="shared" si="25"/>
        <v>0</v>
      </c>
      <c r="AW43" s="1">
        <f t="shared" si="26"/>
        <v>0</v>
      </c>
      <c r="AX43" s="1">
        <f t="shared" si="27"/>
        <v>128.5</v>
      </c>
      <c r="AY43" s="1">
        <f t="shared" si="40"/>
        <v>130.5</v>
      </c>
      <c r="AZ43" s="73" t="s">
        <v>186</v>
      </c>
      <c r="BA43" s="68" t="s">
        <v>206</v>
      </c>
      <c r="BB43" s="41">
        <f t="shared" si="103"/>
        <v>133.25775974023168</v>
      </c>
      <c r="BC43" s="3">
        <f>MIN($D$36:D43)</f>
        <v>127</v>
      </c>
      <c r="BD43" s="3">
        <f t="shared" si="101"/>
        <v>6.257759740231677</v>
      </c>
      <c r="BE43" s="3">
        <f>MIN(IF(MIN($D$36:D43)&lt;MIN($D$36:D42),BE42+0.02,BE42),0.2)</f>
        <v>0.04</v>
      </c>
      <c r="BF43" s="3">
        <f t="shared" si="102"/>
        <v>0.2503103896092671</v>
      </c>
      <c r="BJ43" s="5">
        <f t="shared" si="28"/>
        <v>1</v>
      </c>
      <c r="BK43" s="5">
        <f t="shared" si="29"/>
        <v>0</v>
      </c>
      <c r="BL43" s="3">
        <f t="shared" si="53"/>
        <v>1.0714285714285714</v>
      </c>
      <c r="BM43" s="3">
        <f t="shared" si="54"/>
        <v>0.8571428571428571</v>
      </c>
      <c r="BN43" s="30">
        <f t="shared" si="55"/>
        <v>55.55555555555556</v>
      </c>
      <c r="BO43" s="21">
        <f t="shared" si="64"/>
        <v>134.6809044912421</v>
      </c>
      <c r="BP43" s="21">
        <f t="shared" si="65"/>
        <v>129.65</v>
      </c>
      <c r="BQ43" s="21">
        <f t="shared" si="66"/>
        <v>124.6190955087579</v>
      </c>
      <c r="BR43" s="19"/>
      <c r="BS43" s="21">
        <f t="shared" si="75"/>
        <v>0.0776074738332758</v>
      </c>
      <c r="BT43" s="21">
        <f t="shared" si="76"/>
        <v>0.6341707045273973</v>
      </c>
      <c r="BU43" s="6">
        <f t="shared" si="17"/>
        <v>639698.6666666666</v>
      </c>
      <c r="BV43" s="6">
        <f t="shared" si="18"/>
        <v>639698.6666666666</v>
      </c>
      <c r="BW43" s="6">
        <f t="shared" si="30"/>
        <v>1.9190977687833586</v>
      </c>
      <c r="BX43" s="25">
        <f t="shared" si="56"/>
        <v>-240126.12083333335</v>
      </c>
      <c r="BY43" s="25">
        <f t="shared" si="57"/>
        <v>2976.048214285726</v>
      </c>
      <c r="BZ43" s="26">
        <f t="shared" si="58"/>
        <v>-0.1580764649946305</v>
      </c>
      <c r="CA43" s="33">
        <f t="shared" si="62"/>
        <v>1.008485519276886</v>
      </c>
      <c r="CB43" s="27">
        <f t="shared" si="63"/>
        <v>0.5488181198739692</v>
      </c>
      <c r="CC43" s="66">
        <f t="shared" si="31"/>
        <v>129.66666666666666</v>
      </c>
      <c r="CD43" s="56">
        <f t="shared" si="32"/>
        <v>128.83333333333331</v>
      </c>
      <c r="CE43" s="66">
        <f t="shared" si="33"/>
        <v>130.83333333333331</v>
      </c>
      <c r="CF43" s="56">
        <f t="shared" si="34"/>
        <v>127.66666666666669</v>
      </c>
      <c r="CG43" s="66">
        <f t="shared" si="35"/>
        <v>131.66666666666666</v>
      </c>
      <c r="CH43" s="56">
        <f t="shared" si="36"/>
        <v>126.83333333333334</v>
      </c>
      <c r="CI43" s="66">
        <f t="shared" si="37"/>
        <v>132.5</v>
      </c>
      <c r="CJ43" s="56">
        <f t="shared" si="38"/>
        <v>125.66666666666669</v>
      </c>
      <c r="CK43" s="66">
        <f t="shared" si="39"/>
        <v>133.66666666666663</v>
      </c>
      <c r="CL43" s="84">
        <f t="shared" si="67"/>
        <v>132.7625</v>
      </c>
      <c r="CM43" s="84">
        <f t="shared" si="68"/>
        <v>130.25</v>
      </c>
      <c r="CN43" s="84">
        <f t="shared" si="69"/>
        <v>123.6875</v>
      </c>
      <c r="CO43" s="3">
        <f t="shared" si="70"/>
        <v>-1.0065900690763119</v>
      </c>
      <c r="CP43" s="3">
        <f t="shared" si="71"/>
        <v>-1.3038878180273514</v>
      </c>
      <c r="CQ43" s="3">
        <f t="shared" si="72"/>
        <v>6.511431112636304</v>
      </c>
      <c r="CR43">
        <f t="shared" si="73"/>
        <v>0.03855322378973389</v>
      </c>
      <c r="CS43" s="3">
        <f t="shared" si="74"/>
        <v>6.511431791489928</v>
      </c>
    </row>
    <row r="44" spans="1:97" ht="12.75">
      <c r="A44" s="83">
        <v>37923</v>
      </c>
      <c r="B44" s="54">
        <v>133</v>
      </c>
      <c r="C44" s="53">
        <v>133.5</v>
      </c>
      <c r="D44" s="52">
        <v>131</v>
      </c>
      <c r="E44" s="52">
        <v>132</v>
      </c>
      <c r="F44" s="4">
        <v>1648816</v>
      </c>
      <c r="G44" s="4">
        <f t="shared" si="83"/>
        <v>0</v>
      </c>
      <c r="H44" s="4">
        <f t="shared" si="84"/>
        <v>527.5</v>
      </c>
      <c r="I44" s="4">
        <f t="shared" si="85"/>
        <v>0</v>
      </c>
      <c r="J44" s="9">
        <f t="shared" si="19"/>
        <v>132</v>
      </c>
      <c r="K44" s="9">
        <f t="shared" si="20"/>
        <v>130.5</v>
      </c>
      <c r="L44" s="6">
        <f t="shared" si="86"/>
        <v>138.54725897920605</v>
      </c>
      <c r="M44" s="6">
        <f t="shared" si="87"/>
        <v>126.04725897920605</v>
      </c>
      <c r="N44" s="13">
        <f t="shared" si="80"/>
        <v>138.3739136787141</v>
      </c>
      <c r="O44" s="13">
        <f t="shared" si="81"/>
        <v>130.125</v>
      </c>
      <c r="P44" s="13">
        <f t="shared" si="82"/>
        <v>121.99891367871408</v>
      </c>
      <c r="Q44" s="1">
        <f t="shared" si="88"/>
        <v>2.5</v>
      </c>
      <c r="R44" s="1">
        <f t="shared" si="89"/>
        <v>2.5</v>
      </c>
      <c r="S44" s="1">
        <f t="shared" si="90"/>
        <v>0</v>
      </c>
      <c r="T44" s="6">
        <f t="shared" si="91"/>
        <v>2.5</v>
      </c>
      <c r="U44" s="6">
        <f t="shared" si="92"/>
        <v>2.5</v>
      </c>
      <c r="V44" s="3">
        <f t="shared" si="93"/>
        <v>2</v>
      </c>
      <c r="W44" s="3">
        <f t="shared" si="94"/>
        <v>0</v>
      </c>
      <c r="X44" s="3">
        <f t="shared" si="95"/>
        <v>2</v>
      </c>
      <c r="Y44" s="3">
        <f t="shared" si="96"/>
        <v>0</v>
      </c>
      <c r="Z44" s="3">
        <f t="shared" si="97"/>
        <v>2</v>
      </c>
      <c r="AA44" s="3">
        <f t="shared" si="98"/>
        <v>0</v>
      </c>
      <c r="AB44" s="30">
        <f t="shared" si="104"/>
        <v>46.5</v>
      </c>
      <c r="AC44" s="6">
        <f t="shared" si="105"/>
        <v>7</v>
      </c>
      <c r="AD44" s="6">
        <f t="shared" si="106"/>
        <v>12</v>
      </c>
      <c r="AE44" s="16">
        <f t="shared" si="107"/>
        <v>15</v>
      </c>
      <c r="AF44" s="16">
        <f t="shared" si="108"/>
        <v>25</v>
      </c>
      <c r="AG44" s="1">
        <f t="shared" si="109"/>
        <v>10</v>
      </c>
      <c r="AH44" s="1">
        <f t="shared" si="110"/>
        <v>40</v>
      </c>
      <c r="AI44" s="16">
        <f t="shared" si="111"/>
        <v>25</v>
      </c>
      <c r="AJ44" s="16">
        <f t="shared" si="99"/>
        <v>29</v>
      </c>
      <c r="AK44" s="16">
        <f aca="true" t="shared" si="112" ref="AK44:AK50">ROUND((AJ30+AJ44)/2,0)</f>
        <v>28</v>
      </c>
      <c r="AL44" s="16">
        <f aca="true" t="shared" si="113" ref="AL44:AL49">AB44*AK44</f>
        <v>1302</v>
      </c>
      <c r="AM44" s="59">
        <f t="shared" si="100"/>
        <v>8</v>
      </c>
      <c r="AO44" s="58">
        <f>MAX($E$26:E43)-AM43</f>
        <v>125</v>
      </c>
      <c r="AQ44" s="1">
        <f t="shared" si="16"/>
        <v>132.2</v>
      </c>
      <c r="AR44" s="38">
        <f t="shared" si="21"/>
        <v>130.1</v>
      </c>
      <c r="AS44" s="39">
        <f t="shared" si="22"/>
        <v>131.6</v>
      </c>
      <c r="AT44" s="38">
        <f t="shared" si="23"/>
        <v>133.1</v>
      </c>
      <c r="AU44" s="39">
        <f t="shared" si="24"/>
        <v>128.6</v>
      </c>
      <c r="AV44" s="70">
        <f>IF(C44&gt;AT44,1,0)</f>
        <v>1</v>
      </c>
      <c r="AW44" s="1">
        <f t="shared" si="26"/>
        <v>0</v>
      </c>
      <c r="AX44" s="1">
        <f t="shared" si="27"/>
        <v>128.5</v>
      </c>
      <c r="AY44" s="1">
        <f t="shared" si="40"/>
        <v>131.5</v>
      </c>
      <c r="AZ44" s="75" t="s">
        <v>207</v>
      </c>
      <c r="BB44" s="41">
        <f t="shared" si="103"/>
        <v>133.0074493506224</v>
      </c>
      <c r="BC44" s="3">
        <f>MIN($D$36:D44)</f>
        <v>127</v>
      </c>
      <c r="BD44" s="3">
        <f t="shared" si="101"/>
        <v>6.007449350622409</v>
      </c>
      <c r="BE44" s="3">
        <f>MIN(IF(MIN($D$36:D44)&lt;MIN($D$36:D43),BE43+0.02,BE43),0.2)</f>
        <v>0.04</v>
      </c>
      <c r="BF44" s="3">
        <f t="shared" si="102"/>
        <v>0.24029797402489636</v>
      </c>
      <c r="BH44" s="3">
        <v>133</v>
      </c>
      <c r="BI44" s="1">
        <v>-1.5</v>
      </c>
      <c r="BJ44" s="5">
        <f t="shared" si="28"/>
        <v>1</v>
      </c>
      <c r="BK44" s="5">
        <f t="shared" si="29"/>
        <v>0</v>
      </c>
      <c r="BL44" s="3">
        <f t="shared" si="53"/>
        <v>0.8571428571428571</v>
      </c>
      <c r="BM44" s="3">
        <f t="shared" si="54"/>
        <v>0.8571428571428571</v>
      </c>
      <c r="BN44" s="30">
        <f t="shared" si="55"/>
        <v>50</v>
      </c>
      <c r="BO44" s="21">
        <f t="shared" si="64"/>
        <v>134.03492327290448</v>
      </c>
      <c r="BP44" s="21">
        <f t="shared" si="65"/>
        <v>130.125</v>
      </c>
      <c r="BQ44" s="21">
        <f t="shared" si="66"/>
        <v>126.21507672709554</v>
      </c>
      <c r="BR44" s="19"/>
      <c r="BS44" s="21">
        <f t="shared" si="75"/>
        <v>0.06009488219641839</v>
      </c>
      <c r="BT44" s="21">
        <f t="shared" si="76"/>
        <v>0.7397745261388667</v>
      </c>
      <c r="BU44" s="6">
        <f t="shared" si="17"/>
        <v>-329763.2</v>
      </c>
      <c r="BV44" s="6">
        <f t="shared" si="18"/>
        <v>-659526.4</v>
      </c>
      <c r="BW44" s="6">
        <f t="shared" si="30"/>
        <v>1.6488179190977688</v>
      </c>
      <c r="BX44" s="25">
        <f t="shared" si="56"/>
        <v>-481215.1494047619</v>
      </c>
      <c r="BY44" s="25">
        <f t="shared" si="57"/>
        <v>-261667.4946428572</v>
      </c>
      <c r="BZ44" s="26">
        <f t="shared" si="58"/>
        <v>-0.31222208664789347</v>
      </c>
      <c r="CA44" s="33">
        <f t="shared" si="62"/>
        <v>1.0060340098738343</v>
      </c>
      <c r="CB44" s="27">
        <f t="shared" si="63"/>
        <v>0.605856962850222</v>
      </c>
      <c r="CC44" s="66">
        <f t="shared" si="31"/>
        <v>130.83333333333334</v>
      </c>
      <c r="CD44" s="56">
        <f t="shared" si="32"/>
        <v>130.16666666666669</v>
      </c>
      <c r="CE44" s="66">
        <f t="shared" si="33"/>
        <v>131.66666666666669</v>
      </c>
      <c r="CF44" s="56">
        <f t="shared" si="34"/>
        <v>129.33333333333331</v>
      </c>
      <c r="CG44" s="66">
        <f t="shared" si="35"/>
        <v>132.33333333333334</v>
      </c>
      <c r="CH44" s="56">
        <f t="shared" si="36"/>
        <v>128.66666666666666</v>
      </c>
      <c r="CI44" s="66">
        <f t="shared" si="37"/>
        <v>133</v>
      </c>
      <c r="CJ44" s="56">
        <f t="shared" si="38"/>
        <v>127.83333333333331</v>
      </c>
      <c r="CK44" s="66">
        <f t="shared" si="39"/>
        <v>133.83333333333337</v>
      </c>
      <c r="CL44" s="84">
        <f t="shared" si="67"/>
        <v>132.7625</v>
      </c>
      <c r="CM44" s="84">
        <f t="shared" si="68"/>
        <v>130.75</v>
      </c>
      <c r="CN44" s="84">
        <f t="shared" si="69"/>
        <v>126.1875</v>
      </c>
      <c r="CO44" s="3">
        <f t="shared" si="70"/>
        <v>-2.3874214316819655</v>
      </c>
      <c r="CP44" s="3">
        <f t="shared" si="71"/>
        <v>-0.8394379622614444</v>
      </c>
      <c r="CQ44" s="3">
        <f t="shared" si="72"/>
        <v>7.098671218664125</v>
      </c>
      <c r="CR44">
        <f t="shared" si="73"/>
        <v>0.028743730379111723</v>
      </c>
      <c r="CS44" s="3">
        <f t="shared" si="74"/>
        <v>7.098652539561101</v>
      </c>
    </row>
    <row r="45" spans="1:97" ht="12.75">
      <c r="A45" s="83">
        <v>37924</v>
      </c>
      <c r="B45" s="52">
        <v>130.5</v>
      </c>
      <c r="C45" s="52">
        <v>133.5</v>
      </c>
      <c r="D45" s="52">
        <v>129.5</v>
      </c>
      <c r="E45" s="52">
        <v>132</v>
      </c>
      <c r="F45" s="4">
        <v>2031272</v>
      </c>
      <c r="G45" s="4">
        <f t="shared" si="83"/>
        <v>528.5</v>
      </c>
      <c r="H45" s="4">
        <f t="shared" si="84"/>
        <v>0</v>
      </c>
      <c r="I45" s="4">
        <f t="shared" si="85"/>
        <v>0</v>
      </c>
      <c r="J45" s="9">
        <f t="shared" si="19"/>
        <v>132.75</v>
      </c>
      <c r="K45" s="9">
        <f t="shared" si="20"/>
        <v>130.25</v>
      </c>
      <c r="L45" s="6">
        <f t="shared" si="86"/>
        <v>141.6216730038023</v>
      </c>
      <c r="M45" s="6">
        <f t="shared" si="87"/>
        <v>121.62167300380229</v>
      </c>
      <c r="N45" s="13">
        <f t="shared" si="80"/>
        <v>138.9524720763789</v>
      </c>
      <c r="O45" s="13">
        <f t="shared" si="81"/>
        <v>130.475</v>
      </c>
      <c r="P45" s="13">
        <f t="shared" si="82"/>
        <v>122.20247207637894</v>
      </c>
      <c r="Q45" s="1">
        <f t="shared" si="88"/>
        <v>4</v>
      </c>
      <c r="R45" s="1">
        <f t="shared" si="89"/>
        <v>1.5</v>
      </c>
      <c r="S45" s="1">
        <f t="shared" si="90"/>
        <v>2.5</v>
      </c>
      <c r="T45" s="6">
        <f t="shared" si="91"/>
        <v>4</v>
      </c>
      <c r="U45" s="6">
        <f t="shared" si="92"/>
        <v>4</v>
      </c>
      <c r="V45" s="3">
        <f t="shared" si="93"/>
        <v>0</v>
      </c>
      <c r="W45" s="3">
        <f t="shared" si="94"/>
        <v>1.5</v>
      </c>
      <c r="X45" s="3">
        <f t="shared" si="95"/>
        <v>0</v>
      </c>
      <c r="Y45" s="3">
        <f t="shared" si="96"/>
        <v>1.5</v>
      </c>
      <c r="Z45" s="3">
        <f t="shared" si="97"/>
        <v>0</v>
      </c>
      <c r="AA45" s="3">
        <f t="shared" si="98"/>
        <v>1.5</v>
      </c>
      <c r="AB45" s="30">
        <f t="shared" si="104"/>
        <v>47.5</v>
      </c>
      <c r="AC45" s="6">
        <f t="shared" si="105"/>
        <v>6.5</v>
      </c>
      <c r="AD45" s="6">
        <f t="shared" si="106"/>
        <v>13.5</v>
      </c>
      <c r="AE45" s="16">
        <f t="shared" si="107"/>
        <v>14</v>
      </c>
      <c r="AF45" s="16">
        <f t="shared" si="108"/>
        <v>28</v>
      </c>
      <c r="AG45" s="1">
        <f t="shared" si="109"/>
        <v>14</v>
      </c>
      <c r="AH45" s="1">
        <f t="shared" si="110"/>
        <v>42</v>
      </c>
      <c r="AI45" s="16">
        <f t="shared" si="111"/>
        <v>33</v>
      </c>
      <c r="AJ45" s="16">
        <f t="shared" si="99"/>
        <v>28.785714285714285</v>
      </c>
      <c r="AK45" s="16">
        <f t="shared" si="112"/>
        <v>28</v>
      </c>
      <c r="AL45" s="16">
        <f t="shared" si="113"/>
        <v>1330</v>
      </c>
      <c r="AM45" s="59">
        <f t="shared" si="100"/>
        <v>8</v>
      </c>
      <c r="AO45" s="58">
        <f>MAX($E$26:E44)-AM44</f>
        <v>125</v>
      </c>
      <c r="AQ45" s="1">
        <f t="shared" si="16"/>
        <v>131.7</v>
      </c>
      <c r="AR45" s="38">
        <f t="shared" si="21"/>
        <v>130.9</v>
      </c>
      <c r="AS45" s="39">
        <f t="shared" si="22"/>
        <v>133.4</v>
      </c>
      <c r="AT45" s="38">
        <f t="shared" si="23"/>
        <v>135.9</v>
      </c>
      <c r="AU45" s="39">
        <f t="shared" si="24"/>
        <v>128.4</v>
      </c>
      <c r="AV45" s="69">
        <f t="shared" si="25"/>
        <v>0</v>
      </c>
      <c r="AW45" s="1">
        <f t="shared" si="26"/>
        <v>0</v>
      </c>
      <c r="AX45" s="1">
        <f t="shared" si="27"/>
        <v>130</v>
      </c>
      <c r="AY45" s="1">
        <f t="shared" si="40"/>
        <v>133.5</v>
      </c>
      <c r="AZ45" s="80" t="s">
        <v>77</v>
      </c>
      <c r="BA45" s="68" t="s">
        <v>208</v>
      </c>
      <c r="BB45" s="36">
        <f>MIN($D$36:D44)</f>
        <v>127</v>
      </c>
      <c r="BC45" s="3">
        <f>C45</f>
        <v>133.5</v>
      </c>
      <c r="BD45" s="3">
        <f aca="true" t="shared" si="114" ref="BD45:BD51">BC45-BB45</f>
        <v>6.5</v>
      </c>
      <c r="BE45" s="8">
        <v>0.02</v>
      </c>
      <c r="BF45" s="3">
        <f t="shared" si="102"/>
        <v>0.13</v>
      </c>
      <c r="BG45" s="8">
        <v>132</v>
      </c>
      <c r="BJ45" s="5">
        <f t="shared" si="28"/>
        <v>0</v>
      </c>
      <c r="BK45" s="5">
        <f t="shared" si="29"/>
        <v>0</v>
      </c>
      <c r="BL45" s="3">
        <f t="shared" si="53"/>
        <v>0.8571428571428571</v>
      </c>
      <c r="BM45" s="3">
        <f t="shared" si="54"/>
        <v>0.7857142857142857</v>
      </c>
      <c r="BN45" s="30">
        <f t="shared" si="55"/>
        <v>52.17391304347826</v>
      </c>
      <c r="BO45" s="21">
        <f t="shared" si="64"/>
        <v>133.6761716605018</v>
      </c>
      <c r="BP45" s="21">
        <f t="shared" si="65"/>
        <v>130.475</v>
      </c>
      <c r="BQ45" s="21">
        <f t="shared" si="66"/>
        <v>127.27382833949817</v>
      </c>
      <c r="BR45" s="19"/>
      <c r="BS45" s="21">
        <f t="shared" si="75"/>
        <v>0.04906950236446554</v>
      </c>
      <c r="BT45" s="21">
        <f t="shared" si="76"/>
        <v>0.7381940367048219</v>
      </c>
      <c r="BU45" s="6">
        <f t="shared" si="17"/>
        <v>507818</v>
      </c>
      <c r="BV45" s="6">
        <f t="shared" si="18"/>
        <v>761727</v>
      </c>
      <c r="BW45" s="6">
        <f t="shared" si="30"/>
        <v>2.031273648817919</v>
      </c>
      <c r="BX45" s="25">
        <f t="shared" si="56"/>
        <v>-364126.6255952381</v>
      </c>
      <c r="BY45" s="25">
        <f t="shared" si="57"/>
        <v>-207258.42321428578</v>
      </c>
      <c r="BZ45" s="26">
        <f t="shared" si="58"/>
        <v>0.07531604492077053</v>
      </c>
      <c r="CA45" s="33">
        <f t="shared" si="62"/>
        <v>1.0105994152046784</v>
      </c>
      <c r="CB45" s="27">
        <f t="shared" si="63"/>
        <v>0.6707216673558823</v>
      </c>
      <c r="CC45" s="66">
        <f t="shared" si="31"/>
        <v>132.16666666666666</v>
      </c>
      <c r="CD45" s="56">
        <f t="shared" si="32"/>
        <v>130.83333333333331</v>
      </c>
      <c r="CE45" s="66">
        <f t="shared" si="33"/>
        <v>133.33333333333331</v>
      </c>
      <c r="CF45" s="56">
        <f t="shared" si="34"/>
        <v>129.66666666666669</v>
      </c>
      <c r="CG45" s="66">
        <f t="shared" si="35"/>
        <v>134.66666666666666</v>
      </c>
      <c r="CH45" s="56">
        <f t="shared" si="36"/>
        <v>128.33333333333334</v>
      </c>
      <c r="CI45" s="66">
        <f t="shared" si="37"/>
        <v>136</v>
      </c>
      <c r="CJ45" s="56">
        <f t="shared" si="38"/>
        <v>127.16666666666669</v>
      </c>
      <c r="CK45" s="66">
        <f t="shared" si="39"/>
        <v>137.16666666666663</v>
      </c>
      <c r="CL45" s="84">
        <f t="shared" si="67"/>
        <v>132.7625</v>
      </c>
      <c r="CM45" s="84">
        <f t="shared" si="68"/>
        <v>131</v>
      </c>
      <c r="CN45" s="84">
        <f t="shared" si="69"/>
        <v>127.7375</v>
      </c>
      <c r="CO45" s="3">
        <f t="shared" si="70"/>
        <v>-3.999278239139193</v>
      </c>
      <c r="CP45" s="3">
        <f t="shared" si="71"/>
        <v>-0.38667961401975437</v>
      </c>
      <c r="CQ45" s="3">
        <f t="shared" si="72"/>
        <v>13.826925774705126</v>
      </c>
      <c r="CR45">
        <f t="shared" si="73"/>
        <v>0.000994308649122613</v>
      </c>
      <c r="CS45" s="3">
        <f t="shared" si="74"/>
        <v>13.826993381371722</v>
      </c>
    </row>
    <row r="46" spans="1:97" ht="12.75">
      <c r="A46" s="83">
        <v>37925</v>
      </c>
      <c r="B46" s="53">
        <v>131</v>
      </c>
      <c r="C46" s="52">
        <v>133</v>
      </c>
      <c r="D46" s="53">
        <v>130.5</v>
      </c>
      <c r="E46" s="52">
        <v>132.5</v>
      </c>
      <c r="F46" s="4">
        <v>2123911</v>
      </c>
      <c r="G46" s="4">
        <f t="shared" si="83"/>
        <v>529</v>
      </c>
      <c r="H46" s="4">
        <f t="shared" si="84"/>
        <v>0</v>
      </c>
      <c r="I46" s="4">
        <f t="shared" si="85"/>
        <v>0</v>
      </c>
      <c r="J46" s="9">
        <f t="shared" si="19"/>
        <v>134.75</v>
      </c>
      <c r="K46" s="9">
        <f t="shared" si="20"/>
        <v>130.75</v>
      </c>
      <c r="L46" s="6">
        <f t="shared" si="86"/>
        <v>138.04743833017076</v>
      </c>
      <c r="M46" s="6">
        <f t="shared" si="87"/>
        <v>125.54743833017078</v>
      </c>
      <c r="N46" s="13">
        <f aca="true" t="shared" si="115" ref="N46:N51">AVERAGE(L27:L46)</f>
        <v>138.69314186522791</v>
      </c>
      <c r="O46" s="13">
        <f aca="true" t="shared" si="116" ref="O46:O51">AVERAGE(E27:E46)</f>
        <v>130.575</v>
      </c>
      <c r="P46" s="13">
        <f aca="true" t="shared" si="117" ref="P46:P51">AVERAGE(M27:M46)</f>
        <v>122.69314186522793</v>
      </c>
      <c r="Q46" s="1">
        <f t="shared" si="88"/>
        <v>2.5</v>
      </c>
      <c r="R46" s="1">
        <f t="shared" si="89"/>
        <v>1</v>
      </c>
      <c r="S46" s="1">
        <f t="shared" si="90"/>
        <v>1.5</v>
      </c>
      <c r="T46" s="6">
        <f t="shared" si="91"/>
        <v>2.5</v>
      </c>
      <c r="U46" s="6">
        <f t="shared" si="92"/>
        <v>2.5</v>
      </c>
      <c r="V46" s="3">
        <f t="shared" si="93"/>
        <v>0</v>
      </c>
      <c r="W46" s="3">
        <f t="shared" si="94"/>
        <v>0</v>
      </c>
      <c r="X46" s="3">
        <f t="shared" si="95"/>
        <v>0</v>
      </c>
      <c r="Y46" s="3">
        <f t="shared" si="96"/>
        <v>0</v>
      </c>
      <c r="Z46" s="3">
        <f t="shared" si="97"/>
        <v>0</v>
      </c>
      <c r="AA46" s="3">
        <f t="shared" si="98"/>
        <v>0</v>
      </c>
      <c r="AB46" s="30">
        <f t="shared" si="104"/>
        <v>46.5</v>
      </c>
      <c r="AC46" s="6">
        <f t="shared" si="105"/>
        <v>5</v>
      </c>
      <c r="AD46" s="6">
        <f t="shared" si="106"/>
        <v>13.5</v>
      </c>
      <c r="AE46" s="16">
        <f t="shared" si="107"/>
        <v>11</v>
      </c>
      <c r="AF46" s="16">
        <f t="shared" si="108"/>
        <v>29</v>
      </c>
      <c r="AG46" s="1">
        <f t="shared" si="109"/>
        <v>18</v>
      </c>
      <c r="AH46" s="1">
        <f t="shared" si="110"/>
        <v>40</v>
      </c>
      <c r="AI46" s="16">
        <f t="shared" si="111"/>
        <v>45</v>
      </c>
      <c r="AJ46" s="16">
        <f t="shared" si="99"/>
        <v>28.5</v>
      </c>
      <c r="AK46" s="16">
        <f t="shared" si="112"/>
        <v>28</v>
      </c>
      <c r="AL46" s="16">
        <f t="shared" si="113"/>
        <v>1302</v>
      </c>
      <c r="AM46" s="59">
        <f t="shared" si="100"/>
        <v>8</v>
      </c>
      <c r="AO46" s="58">
        <f>MAX($E$26:E45)-AM45</f>
        <v>125</v>
      </c>
      <c r="AQ46" s="1">
        <f t="shared" si="16"/>
        <v>132</v>
      </c>
      <c r="AR46" s="38">
        <f t="shared" si="21"/>
        <v>129.9</v>
      </c>
      <c r="AS46" s="39">
        <f t="shared" si="22"/>
        <v>133.9</v>
      </c>
      <c r="AT46" s="38">
        <f t="shared" si="23"/>
        <v>137.9</v>
      </c>
      <c r="AU46" s="39">
        <f t="shared" si="24"/>
        <v>125.9</v>
      </c>
      <c r="AV46" s="1">
        <f t="shared" si="25"/>
        <v>0</v>
      </c>
      <c r="AW46" s="1">
        <f t="shared" si="26"/>
        <v>0</v>
      </c>
      <c r="AX46" s="1">
        <f t="shared" si="27"/>
        <v>129.5</v>
      </c>
      <c r="AY46" s="1">
        <f t="shared" si="40"/>
        <v>133.5</v>
      </c>
      <c r="AZ46" s="78" t="s">
        <v>76</v>
      </c>
      <c r="BB46" s="41">
        <f>IF(BB45+BF45&gt;MIN(D45,D44),MIN(D45,D44),BB45+BF45)</f>
        <v>127.13</v>
      </c>
      <c r="BC46" s="3">
        <f>MAX($C$45:C46)</f>
        <v>133.5</v>
      </c>
      <c r="BD46" s="3">
        <f t="shared" si="114"/>
        <v>6.3700000000000045</v>
      </c>
      <c r="BE46" s="3">
        <f>MIN(IF(MAX($C$45:C46)&gt;MAX($C$45:C45),BE45+0.02,BE45),0.2)</f>
        <v>0.02</v>
      </c>
      <c r="BF46" s="3">
        <f t="shared" si="102"/>
        <v>0.1274000000000001</v>
      </c>
      <c r="BJ46" s="5">
        <f t="shared" si="28"/>
        <v>0.5</v>
      </c>
      <c r="BK46" s="5">
        <f t="shared" si="29"/>
        <v>0</v>
      </c>
      <c r="BL46" s="3">
        <f t="shared" si="53"/>
        <v>0.75</v>
      </c>
      <c r="BM46" s="3">
        <f t="shared" si="54"/>
        <v>0.7857142857142857</v>
      </c>
      <c r="BN46" s="30">
        <f t="shared" si="55"/>
        <v>48.83720930232558</v>
      </c>
      <c r="BO46" s="21">
        <f t="shared" si="64"/>
        <v>133.89576798346405</v>
      </c>
      <c r="BP46" s="21">
        <f t="shared" si="65"/>
        <v>130.575</v>
      </c>
      <c r="BQ46" s="21">
        <f t="shared" si="66"/>
        <v>127.25423201653592</v>
      </c>
      <c r="BR46" s="19"/>
      <c r="BS46" s="21">
        <f t="shared" si="75"/>
        <v>0.0508637638669587</v>
      </c>
      <c r="BT46" s="21">
        <f t="shared" si="76"/>
        <v>0.7898425920729252</v>
      </c>
      <c r="BU46" s="6">
        <f t="shared" si="17"/>
        <v>1274346.5999999999</v>
      </c>
      <c r="BV46" s="6">
        <f t="shared" si="18"/>
        <v>1274346.5999999999</v>
      </c>
      <c r="BW46" s="6">
        <f t="shared" si="30"/>
        <v>2.1239130312736485</v>
      </c>
      <c r="BX46" s="25">
        <f t="shared" si="56"/>
        <v>-238059.96845238097</v>
      </c>
      <c r="BY46" s="25">
        <f t="shared" si="57"/>
        <v>-81191.76607142856</v>
      </c>
      <c r="BZ46" s="26">
        <f t="shared" si="58"/>
        <v>0.05181486103033065</v>
      </c>
      <c r="CA46" s="33">
        <f t="shared" si="62"/>
        <v>1.011111111111111</v>
      </c>
      <c r="CB46" s="27">
        <f t="shared" si="63"/>
        <v>0.6315694001743671</v>
      </c>
      <c r="CC46" s="66">
        <f t="shared" si="31"/>
        <v>131.66666666666666</v>
      </c>
      <c r="CD46" s="56">
        <f t="shared" si="32"/>
        <v>129.83333333333331</v>
      </c>
      <c r="CE46" s="66">
        <f t="shared" si="33"/>
        <v>133.83333333333331</v>
      </c>
      <c r="CF46" s="56">
        <f t="shared" si="34"/>
        <v>127.66666666666669</v>
      </c>
      <c r="CG46" s="66">
        <f t="shared" si="35"/>
        <v>135.66666666666666</v>
      </c>
      <c r="CH46" s="56">
        <f t="shared" si="36"/>
        <v>125.83333333333334</v>
      </c>
      <c r="CI46" s="66">
        <f t="shared" si="37"/>
        <v>137.5</v>
      </c>
      <c r="CJ46" s="56">
        <f t="shared" si="38"/>
        <v>123.66666666666669</v>
      </c>
      <c r="CK46" s="66">
        <f t="shared" si="39"/>
        <v>139.66666666666663</v>
      </c>
      <c r="CL46" s="84">
        <f t="shared" si="67"/>
        <v>132.7625</v>
      </c>
      <c r="CM46" s="84">
        <f t="shared" si="68"/>
        <v>131</v>
      </c>
      <c r="CN46" s="84">
        <f t="shared" si="69"/>
        <v>127.7375</v>
      </c>
      <c r="CO46" s="3">
        <f t="shared" si="70"/>
        <v>-4.101231188392775</v>
      </c>
      <c r="CP46" s="3">
        <f t="shared" si="71"/>
        <v>-0.4440692719590505</v>
      </c>
      <c r="CQ46" s="3">
        <f t="shared" si="72"/>
        <v>14.674072778198813</v>
      </c>
      <c r="CR46">
        <f t="shared" si="73"/>
        <v>0.0006509769072899971</v>
      </c>
      <c r="CS46" s="3">
        <f t="shared" si="74"/>
        <v>14.673534599296545</v>
      </c>
    </row>
    <row r="47" spans="1:97" ht="12.75">
      <c r="A47" s="83">
        <v>37928</v>
      </c>
      <c r="B47" s="53">
        <v>134</v>
      </c>
      <c r="C47" s="52">
        <v>136.5</v>
      </c>
      <c r="D47" s="53">
        <v>133.5</v>
      </c>
      <c r="E47" s="52">
        <v>135.5</v>
      </c>
      <c r="F47" s="4">
        <v>2552896</v>
      </c>
      <c r="G47" s="4">
        <f t="shared" si="83"/>
        <v>542</v>
      </c>
      <c r="H47" s="4">
        <f t="shared" si="84"/>
        <v>0</v>
      </c>
      <c r="I47" s="4">
        <f t="shared" si="85"/>
        <v>0</v>
      </c>
      <c r="J47" s="9">
        <f t="shared" si="19"/>
        <v>134</v>
      </c>
      <c r="K47" s="9">
        <f t="shared" si="20"/>
        <v>131.5</v>
      </c>
      <c r="L47" s="6">
        <f t="shared" si="86"/>
        <v>142.56666666666666</v>
      </c>
      <c r="M47" s="6">
        <f t="shared" si="87"/>
        <v>127.56666666666668</v>
      </c>
      <c r="N47" s="13">
        <f t="shared" si="115"/>
        <v>139.04405740359024</v>
      </c>
      <c r="O47" s="13">
        <f t="shared" si="116"/>
        <v>130.9</v>
      </c>
      <c r="P47" s="13">
        <f t="shared" si="117"/>
        <v>122.91905740359027</v>
      </c>
      <c r="Q47" s="1">
        <f t="shared" si="88"/>
        <v>3</v>
      </c>
      <c r="R47" s="1">
        <f t="shared" si="89"/>
        <v>4</v>
      </c>
      <c r="S47" s="1">
        <f t="shared" si="90"/>
        <v>1</v>
      </c>
      <c r="T47" s="6">
        <f t="shared" si="91"/>
        <v>4</v>
      </c>
      <c r="U47" s="6">
        <f t="shared" si="92"/>
        <v>4</v>
      </c>
      <c r="V47" s="3">
        <f t="shared" si="93"/>
        <v>3.5</v>
      </c>
      <c r="W47" s="3">
        <f t="shared" si="94"/>
        <v>0</v>
      </c>
      <c r="X47" s="3">
        <f t="shared" si="95"/>
        <v>3.5</v>
      </c>
      <c r="Y47" s="3">
        <f t="shared" si="96"/>
        <v>0</v>
      </c>
      <c r="Z47" s="3">
        <f t="shared" si="97"/>
        <v>3.5</v>
      </c>
      <c r="AA47" s="3">
        <f t="shared" si="98"/>
        <v>0</v>
      </c>
      <c r="AB47" s="30">
        <f t="shared" si="104"/>
        <v>47</v>
      </c>
      <c r="AC47" s="6">
        <f t="shared" si="105"/>
        <v>8.5</v>
      </c>
      <c r="AD47" s="6">
        <f t="shared" si="106"/>
        <v>11.5</v>
      </c>
      <c r="AE47" s="16">
        <f t="shared" si="107"/>
        <v>18</v>
      </c>
      <c r="AF47" s="16">
        <f t="shared" si="108"/>
        <v>24</v>
      </c>
      <c r="AG47" s="1">
        <f t="shared" si="109"/>
        <v>6</v>
      </c>
      <c r="AH47" s="1">
        <f t="shared" si="110"/>
        <v>42</v>
      </c>
      <c r="AI47" s="16">
        <f t="shared" si="111"/>
        <v>14</v>
      </c>
      <c r="AJ47" s="16">
        <f t="shared" si="99"/>
        <v>26.357142857142858</v>
      </c>
      <c r="AK47" s="16">
        <f t="shared" si="112"/>
        <v>26</v>
      </c>
      <c r="AL47" s="16">
        <f t="shared" si="113"/>
        <v>1222</v>
      </c>
      <c r="AM47" s="59">
        <f t="shared" si="100"/>
        <v>8</v>
      </c>
      <c r="AO47" s="58">
        <f>MAX($E$26:E46)-AM46</f>
        <v>125</v>
      </c>
      <c r="AP47" s="60"/>
      <c r="AQ47" s="1">
        <f t="shared" si="16"/>
        <v>135.2</v>
      </c>
      <c r="AR47" s="38">
        <f t="shared" si="21"/>
        <v>131</v>
      </c>
      <c r="AS47" s="39">
        <f t="shared" si="22"/>
        <v>133.5</v>
      </c>
      <c r="AT47" s="38">
        <f t="shared" si="23"/>
        <v>136</v>
      </c>
      <c r="AU47" s="39">
        <f t="shared" si="24"/>
        <v>128.5</v>
      </c>
      <c r="AV47" s="70">
        <f t="shared" si="25"/>
        <v>1</v>
      </c>
      <c r="AW47" s="1">
        <f t="shared" si="26"/>
        <v>0</v>
      </c>
      <c r="AX47" s="1">
        <f aca="true" t="shared" si="118" ref="AX47:AX52">MIN(D45,D46)</f>
        <v>129.5</v>
      </c>
      <c r="AY47" s="1">
        <f t="shared" si="40"/>
        <v>133.5</v>
      </c>
      <c r="AZ47" s="80" t="s">
        <v>192</v>
      </c>
      <c r="BB47" s="41">
        <f aca="true" t="shared" si="119" ref="BB47:BB54">IF(BB46+BF46&gt;MIN(D46,D45),MIN(D46,D45),BB46+BF46)</f>
        <v>127.25739999999999</v>
      </c>
      <c r="BC47" s="3">
        <f>MAX($C$45:C47)</f>
        <v>136.5</v>
      </c>
      <c r="BD47" s="3">
        <f t="shared" si="114"/>
        <v>9.24260000000001</v>
      </c>
      <c r="BE47" s="3">
        <f>MIN(IF(MAX($C$45:C47)&gt;MAX(C$45:$C46),BE46+0.02,BE46),0.2)</f>
        <v>0.04</v>
      </c>
      <c r="BF47" s="3">
        <f aca="true" t="shared" si="120" ref="BF47:BF52">BE47*BD47</f>
        <v>0.3697040000000004</v>
      </c>
      <c r="BJ47" s="5">
        <f t="shared" si="28"/>
        <v>3</v>
      </c>
      <c r="BK47" s="5">
        <f t="shared" si="29"/>
        <v>0</v>
      </c>
      <c r="BL47" s="3">
        <f t="shared" si="53"/>
        <v>0.9642857142857143</v>
      </c>
      <c r="BM47" s="3">
        <f t="shared" si="54"/>
        <v>0.6428571428571429</v>
      </c>
      <c r="BN47" s="30">
        <f t="shared" si="55"/>
        <v>60</v>
      </c>
      <c r="BO47" s="21">
        <f t="shared" si="64"/>
        <v>134.76781592116274</v>
      </c>
      <c r="BP47" s="21">
        <f t="shared" si="65"/>
        <v>130.9</v>
      </c>
      <c r="BQ47" s="21">
        <f t="shared" si="66"/>
        <v>127.03218407883726</v>
      </c>
      <c r="BR47" s="19"/>
      <c r="BS47" s="21">
        <f t="shared" si="75"/>
        <v>0.05909573599943067</v>
      </c>
      <c r="BT47" s="21">
        <f t="shared" si="76"/>
        <v>1.094650843494273</v>
      </c>
      <c r="BU47" s="6">
        <f t="shared" si="17"/>
        <v>850965.3333333333</v>
      </c>
      <c r="BV47" s="6">
        <f t="shared" si="18"/>
        <v>1276448</v>
      </c>
      <c r="BW47" s="6">
        <f t="shared" si="30"/>
        <v>2.5528981239130313</v>
      </c>
      <c r="BX47" s="25">
        <f t="shared" si="56"/>
        <v>-91606.80178571431</v>
      </c>
      <c r="BY47" s="25">
        <f t="shared" si="57"/>
        <v>124209.6625</v>
      </c>
      <c r="BZ47" s="26">
        <f t="shared" si="58"/>
        <v>0.43406105181486104</v>
      </c>
      <c r="CA47" s="33">
        <f t="shared" si="62"/>
        <v>1.0205941315837435</v>
      </c>
      <c r="CB47" s="27">
        <f t="shared" si="63"/>
        <v>0.5181413659615102</v>
      </c>
      <c r="CC47" s="66">
        <f t="shared" si="31"/>
        <v>132</v>
      </c>
      <c r="CD47" s="56">
        <f t="shared" si="32"/>
        <v>131</v>
      </c>
      <c r="CE47" s="66">
        <f t="shared" si="33"/>
        <v>133.5</v>
      </c>
      <c r="CF47" s="56">
        <f t="shared" si="34"/>
        <v>129.5</v>
      </c>
      <c r="CG47" s="66">
        <f t="shared" si="35"/>
        <v>134.5</v>
      </c>
      <c r="CH47" s="56">
        <f t="shared" si="36"/>
        <v>128.5</v>
      </c>
      <c r="CI47" s="66">
        <f t="shared" si="37"/>
        <v>135.5</v>
      </c>
      <c r="CJ47" s="56">
        <f t="shared" si="38"/>
        <v>127</v>
      </c>
      <c r="CK47" s="66">
        <f t="shared" si="39"/>
        <v>137</v>
      </c>
      <c r="CL47" s="84">
        <f t="shared" si="67"/>
        <v>134.3125</v>
      </c>
      <c r="CM47" s="84">
        <f t="shared" si="68"/>
        <v>131</v>
      </c>
      <c r="CN47" s="84">
        <f t="shared" si="69"/>
        <v>127.7375</v>
      </c>
      <c r="CO47" s="3">
        <f t="shared" si="70"/>
        <v>-2.7969339370052677</v>
      </c>
      <c r="CP47" s="3">
        <f t="shared" si="71"/>
        <v>0.09141081018955428</v>
      </c>
      <c r="CQ47" s="3">
        <f t="shared" si="72"/>
        <v>6.546885994041525</v>
      </c>
      <c r="CR47">
        <f t="shared" si="73"/>
        <v>0.03787579607168944</v>
      </c>
      <c r="CS47" s="3">
        <f t="shared" si="74"/>
        <v>6.546878131799088</v>
      </c>
    </row>
    <row r="48" spans="1:97" ht="12.75">
      <c r="A48" s="83">
        <v>37929</v>
      </c>
      <c r="B48" s="52">
        <v>135</v>
      </c>
      <c r="C48" s="52">
        <v>136</v>
      </c>
      <c r="D48" s="52">
        <v>134</v>
      </c>
      <c r="E48" s="52">
        <v>134.5</v>
      </c>
      <c r="F48" s="4">
        <v>1469172</v>
      </c>
      <c r="G48" s="4">
        <f aca="true" t="shared" si="121" ref="G48:G53">IF(E48&gt;B48,C48*2+D48+E48,0)</f>
        <v>0</v>
      </c>
      <c r="H48" s="4">
        <f aca="true" t="shared" si="122" ref="H48:H53">IF(E48&lt;B48,C48+D48*2+E48,0)</f>
        <v>538.5</v>
      </c>
      <c r="I48" s="4">
        <f aca="true" t="shared" si="123" ref="I48:I53">IF(E48=B48,C48+D48+E48*2,0)</f>
        <v>0</v>
      </c>
      <c r="J48" s="9">
        <f t="shared" si="19"/>
        <v>137.5</v>
      </c>
      <c r="K48" s="9">
        <f t="shared" si="20"/>
        <v>134.5</v>
      </c>
      <c r="L48" s="6">
        <f t="shared" si="86"/>
        <v>140.02962962962962</v>
      </c>
      <c r="M48" s="6">
        <f t="shared" si="87"/>
        <v>130.02962962962962</v>
      </c>
      <c r="N48" s="13">
        <f t="shared" si="115"/>
        <v>139.31699557798513</v>
      </c>
      <c r="O48" s="13">
        <f t="shared" si="116"/>
        <v>131.225</v>
      </c>
      <c r="P48" s="13">
        <f t="shared" si="117"/>
        <v>123.44199557798513</v>
      </c>
      <c r="Q48" s="1">
        <f t="shared" si="88"/>
        <v>2</v>
      </c>
      <c r="R48" s="1">
        <f t="shared" si="89"/>
        <v>0.5</v>
      </c>
      <c r="S48" s="1">
        <f t="shared" si="90"/>
        <v>1.5</v>
      </c>
      <c r="T48" s="6">
        <f t="shared" si="91"/>
        <v>2</v>
      </c>
      <c r="U48" s="6">
        <f t="shared" si="92"/>
        <v>2</v>
      </c>
      <c r="V48" s="3">
        <f t="shared" si="93"/>
        <v>0</v>
      </c>
      <c r="W48" s="3">
        <f t="shared" si="94"/>
        <v>0</v>
      </c>
      <c r="X48" s="3">
        <f t="shared" si="95"/>
        <v>0</v>
      </c>
      <c r="Y48" s="3">
        <f t="shared" si="96"/>
        <v>0</v>
      </c>
      <c r="Z48" s="3">
        <f t="shared" si="97"/>
        <v>0</v>
      </c>
      <c r="AA48" s="3">
        <f t="shared" si="98"/>
        <v>0</v>
      </c>
      <c r="AB48" s="30">
        <f t="shared" si="104"/>
        <v>46.5</v>
      </c>
      <c r="AC48" s="6">
        <f t="shared" si="105"/>
        <v>8.5</v>
      </c>
      <c r="AD48" s="6">
        <f t="shared" si="106"/>
        <v>11.5</v>
      </c>
      <c r="AE48" s="16">
        <f t="shared" si="107"/>
        <v>18</v>
      </c>
      <c r="AF48" s="16">
        <f t="shared" si="108"/>
        <v>24</v>
      </c>
      <c r="AG48" s="1">
        <f t="shared" si="109"/>
        <v>6</v>
      </c>
      <c r="AH48" s="1">
        <f t="shared" si="110"/>
        <v>42</v>
      </c>
      <c r="AI48" s="16">
        <f t="shared" si="111"/>
        <v>14</v>
      </c>
      <c r="AJ48" s="16">
        <f t="shared" si="99"/>
        <v>23.5</v>
      </c>
      <c r="AK48" s="16">
        <f t="shared" si="112"/>
        <v>25</v>
      </c>
      <c r="AL48" s="16">
        <f t="shared" si="113"/>
        <v>1162.5</v>
      </c>
      <c r="AM48" s="59">
        <f t="shared" si="100"/>
        <v>8</v>
      </c>
      <c r="AO48" s="58">
        <f>MAX($E$26:E47)-AM47</f>
        <v>127.5</v>
      </c>
      <c r="AQ48" s="1">
        <f t="shared" si="16"/>
        <v>134.8</v>
      </c>
      <c r="AR48" s="38">
        <f t="shared" si="21"/>
        <v>133.9</v>
      </c>
      <c r="AS48" s="39">
        <f t="shared" si="22"/>
        <v>136.9</v>
      </c>
      <c r="AT48" s="38">
        <f t="shared" si="23"/>
        <v>139.9</v>
      </c>
      <c r="AU48" s="39">
        <f t="shared" si="24"/>
        <v>130.9</v>
      </c>
      <c r="AV48" s="17">
        <f t="shared" si="25"/>
        <v>0</v>
      </c>
      <c r="AW48" s="1">
        <f t="shared" si="26"/>
        <v>0</v>
      </c>
      <c r="AX48" s="1">
        <f t="shared" si="118"/>
        <v>130.5</v>
      </c>
      <c r="AY48" s="1">
        <f t="shared" si="40"/>
        <v>136.5</v>
      </c>
      <c r="AZ48" s="78" t="s">
        <v>76</v>
      </c>
      <c r="BB48" s="41">
        <f t="shared" si="119"/>
        <v>127.62710399999999</v>
      </c>
      <c r="BC48" s="3">
        <f>MAX($C$45:C48)</f>
        <v>136.5</v>
      </c>
      <c r="BD48" s="3">
        <f t="shared" si="114"/>
        <v>8.872896000000011</v>
      </c>
      <c r="BE48" s="3">
        <f>MIN(IF(MAX($C$45:C48)&gt;MAX(C$45:$C47),BE47+0.02,BE47),0.2)</f>
        <v>0.04</v>
      </c>
      <c r="BF48" s="3">
        <f t="shared" si="120"/>
        <v>0.3549158400000005</v>
      </c>
      <c r="BJ48" s="5">
        <f t="shared" si="28"/>
        <v>0</v>
      </c>
      <c r="BK48" s="5">
        <f t="shared" si="29"/>
        <v>1</v>
      </c>
      <c r="BL48" s="3">
        <f t="shared" si="53"/>
        <v>0.8928571428571429</v>
      </c>
      <c r="BM48" s="3">
        <f t="shared" si="54"/>
        <v>0.7142857142857143</v>
      </c>
      <c r="BN48" s="30">
        <f t="shared" si="55"/>
        <v>55.55555555555556</v>
      </c>
      <c r="BO48" s="21">
        <f t="shared" si="64"/>
        <v>135.15533077488396</v>
      </c>
      <c r="BP48" s="21">
        <f t="shared" si="65"/>
        <v>131.225</v>
      </c>
      <c r="BQ48" s="21">
        <f t="shared" si="66"/>
        <v>127.29466922511602</v>
      </c>
      <c r="BR48" s="19"/>
      <c r="BS48" s="21">
        <f t="shared" si="75"/>
        <v>0.05990216460101307</v>
      </c>
      <c r="BT48" s="21">
        <f t="shared" si="76"/>
        <v>0.9166316001859525</v>
      </c>
      <c r="BU48" s="6">
        <f t="shared" si="17"/>
        <v>-734586</v>
      </c>
      <c r="BV48" s="6">
        <f t="shared" si="18"/>
        <v>-367293</v>
      </c>
      <c r="BW48" s="6">
        <f t="shared" si="30"/>
        <v>-1.4691694471018761</v>
      </c>
      <c r="BX48" s="25">
        <f t="shared" si="56"/>
        <v>-198648.10178571433</v>
      </c>
      <c r="BY48" s="25">
        <f t="shared" si="57"/>
        <v>43403.576785714286</v>
      </c>
      <c r="BZ48" s="26">
        <f t="shared" si="58"/>
        <v>0.0562662197753374</v>
      </c>
      <c r="CA48" s="33">
        <f t="shared" si="62"/>
        <v>1.0230573710965867</v>
      </c>
      <c r="CB48" s="27">
        <f t="shared" si="63"/>
        <v>0.42725711692602003</v>
      </c>
      <c r="CC48" s="66">
        <f t="shared" si="31"/>
        <v>135.16666666666666</v>
      </c>
      <c r="CD48" s="56">
        <f t="shared" si="32"/>
        <v>133.83333333333331</v>
      </c>
      <c r="CE48" s="66">
        <f t="shared" si="33"/>
        <v>136.83333333333331</v>
      </c>
      <c r="CF48" s="56">
        <f t="shared" si="34"/>
        <v>132.16666666666669</v>
      </c>
      <c r="CG48" s="66">
        <f t="shared" si="35"/>
        <v>138.16666666666666</v>
      </c>
      <c r="CH48" s="56">
        <f t="shared" si="36"/>
        <v>130.83333333333334</v>
      </c>
      <c r="CI48" s="66">
        <f t="shared" si="37"/>
        <v>139.5</v>
      </c>
      <c r="CJ48" s="56">
        <f t="shared" si="38"/>
        <v>129.16666666666669</v>
      </c>
      <c r="CK48" s="66">
        <f t="shared" si="39"/>
        <v>141.16666666666663</v>
      </c>
      <c r="CL48" s="84">
        <f t="shared" si="67"/>
        <v>135.025</v>
      </c>
      <c r="CM48" s="84">
        <f t="shared" si="68"/>
        <v>131.25</v>
      </c>
      <c r="CN48" s="84">
        <f t="shared" si="69"/>
        <v>127.7375</v>
      </c>
      <c r="CO48" s="3">
        <f t="shared" si="70"/>
        <v>-2.8605803631541273</v>
      </c>
      <c r="CP48" s="3">
        <f t="shared" si="71"/>
        <v>0.05181323966509948</v>
      </c>
      <c r="CQ48" s="3">
        <f t="shared" si="72"/>
        <v>6.828048717734476</v>
      </c>
      <c r="CR48">
        <f t="shared" si="73"/>
        <v>0.03290849792977657</v>
      </c>
      <c r="CS48" s="3">
        <f t="shared" si="74"/>
        <v>6.828049663454294</v>
      </c>
    </row>
    <row r="49" spans="1:97" ht="12.75">
      <c r="A49" s="83">
        <v>37930</v>
      </c>
      <c r="B49" s="53">
        <v>134.5</v>
      </c>
      <c r="C49" s="53">
        <v>135</v>
      </c>
      <c r="D49" s="52">
        <v>132.5</v>
      </c>
      <c r="E49" s="52">
        <v>133.5</v>
      </c>
      <c r="F49" s="4">
        <v>1475817</v>
      </c>
      <c r="G49" s="4">
        <f t="shared" si="121"/>
        <v>0</v>
      </c>
      <c r="H49" s="4">
        <f t="shared" si="122"/>
        <v>533.5</v>
      </c>
      <c r="I49" s="4">
        <f t="shared" si="123"/>
        <v>0</v>
      </c>
      <c r="J49" s="9">
        <f t="shared" si="19"/>
        <v>135.25</v>
      </c>
      <c r="K49" s="9">
        <f t="shared" si="20"/>
        <v>133.25</v>
      </c>
      <c r="L49" s="6">
        <f t="shared" si="86"/>
        <v>140.0467289719626</v>
      </c>
      <c r="M49" s="6">
        <f t="shared" si="87"/>
        <v>127.54672897196262</v>
      </c>
      <c r="N49" s="13">
        <f t="shared" si="115"/>
        <v>139.46455619812323</v>
      </c>
      <c r="O49" s="13">
        <f t="shared" si="116"/>
        <v>131.5</v>
      </c>
      <c r="P49" s="13">
        <f t="shared" si="117"/>
        <v>123.83955619812323</v>
      </c>
      <c r="Q49" s="1">
        <f t="shared" si="88"/>
        <v>2.5</v>
      </c>
      <c r="R49" s="1">
        <f t="shared" si="89"/>
        <v>0.5</v>
      </c>
      <c r="S49" s="1">
        <f t="shared" si="90"/>
        <v>2</v>
      </c>
      <c r="T49" s="6">
        <f t="shared" si="91"/>
        <v>2.5</v>
      </c>
      <c r="U49" s="6">
        <f t="shared" si="92"/>
        <v>2.5</v>
      </c>
      <c r="V49" s="3">
        <f t="shared" si="93"/>
        <v>0</v>
      </c>
      <c r="W49" s="3">
        <f t="shared" si="94"/>
        <v>1.5</v>
      </c>
      <c r="X49" s="3">
        <f t="shared" si="95"/>
        <v>0</v>
      </c>
      <c r="Y49" s="3">
        <f t="shared" si="96"/>
        <v>1.5</v>
      </c>
      <c r="Z49" s="3">
        <f t="shared" si="97"/>
        <v>0</v>
      </c>
      <c r="AA49" s="3">
        <f t="shared" si="98"/>
        <v>1.5</v>
      </c>
      <c r="AB49" s="30">
        <f t="shared" si="104"/>
        <v>41</v>
      </c>
      <c r="AC49" s="6">
        <f t="shared" si="105"/>
        <v>8.5</v>
      </c>
      <c r="AD49" s="6">
        <f t="shared" si="106"/>
        <v>7.5</v>
      </c>
      <c r="AE49" s="16">
        <f aca="true" t="shared" si="124" ref="AE49:AE54">ROUND(((AC49/AB49)*100),0)</f>
        <v>21</v>
      </c>
      <c r="AF49" s="16">
        <f aca="true" t="shared" si="125" ref="AF49:AF54">ROUND(TRUNC((AD49/AB49)*100),0)</f>
        <v>18</v>
      </c>
      <c r="AG49" s="1">
        <f aca="true" t="shared" si="126" ref="AG49:AG54">ABS(AE49-AF49)</f>
        <v>3</v>
      </c>
      <c r="AH49" s="1">
        <f aca="true" t="shared" si="127" ref="AH49:AH54">AE49+AF49</f>
        <v>39</v>
      </c>
      <c r="AI49" s="16">
        <f aca="true" t="shared" si="128" ref="AI49:AI54">ROUND(((AG49/AH49)*100),0)</f>
        <v>8</v>
      </c>
      <c r="AJ49" s="16">
        <f aca="true" t="shared" si="129" ref="AJ49:AJ54">SUM(AI36:AI49)/14</f>
        <v>22.357142857142858</v>
      </c>
      <c r="AK49" s="16">
        <f t="shared" si="112"/>
        <v>23</v>
      </c>
      <c r="AL49" s="16">
        <f t="shared" si="113"/>
        <v>943</v>
      </c>
      <c r="AM49" s="59">
        <f t="shared" si="100"/>
        <v>8</v>
      </c>
      <c r="AO49" s="58">
        <f>MAX($E$26:E48)-AM48</f>
        <v>127.5</v>
      </c>
      <c r="AQ49" s="1">
        <f t="shared" si="16"/>
        <v>133.7</v>
      </c>
      <c r="AR49" s="38">
        <f t="shared" si="21"/>
        <v>133.6</v>
      </c>
      <c r="AS49" s="39">
        <f t="shared" si="22"/>
        <v>135.6</v>
      </c>
      <c r="AT49" s="38">
        <f t="shared" si="23"/>
        <v>137.6</v>
      </c>
      <c r="AU49" s="39">
        <f t="shared" si="24"/>
        <v>131.6</v>
      </c>
      <c r="AV49" s="69">
        <f t="shared" si="25"/>
        <v>0</v>
      </c>
      <c r="AW49" s="1">
        <f t="shared" si="26"/>
        <v>0</v>
      </c>
      <c r="AX49" s="1">
        <f t="shared" si="118"/>
        <v>133.5</v>
      </c>
      <c r="AY49" s="1">
        <f t="shared" si="40"/>
        <v>136.5</v>
      </c>
      <c r="AZ49" s="73" t="s">
        <v>186</v>
      </c>
      <c r="BA49" s="68" t="s">
        <v>209</v>
      </c>
      <c r="BB49" s="41">
        <f t="shared" si="119"/>
        <v>127.98201983999999</v>
      </c>
      <c r="BC49" s="3">
        <f>MAX($C$45:C49)</f>
        <v>136.5</v>
      </c>
      <c r="BD49" s="3">
        <f t="shared" si="114"/>
        <v>8.517980160000008</v>
      </c>
      <c r="BE49" s="3">
        <f>MIN(IF(MAX($C$45:C49)&gt;MAX(C$45:$C48),BE48+0.02,BE48),0.2)</f>
        <v>0.04</v>
      </c>
      <c r="BF49" s="3">
        <f t="shared" si="120"/>
        <v>0.3407192064000003</v>
      </c>
      <c r="BJ49" s="5">
        <f t="shared" si="28"/>
        <v>0</v>
      </c>
      <c r="BK49" s="5">
        <f t="shared" si="29"/>
        <v>1</v>
      </c>
      <c r="BL49" s="3">
        <f t="shared" si="53"/>
        <v>0.8928571428571429</v>
      </c>
      <c r="BM49" s="3">
        <f t="shared" si="54"/>
        <v>0.4642857142857143</v>
      </c>
      <c r="BN49" s="30">
        <f t="shared" si="55"/>
        <v>65.78947368421052</v>
      </c>
      <c r="BO49" s="21">
        <f t="shared" si="64"/>
        <v>135.25499667110373</v>
      </c>
      <c r="BP49" s="21">
        <f t="shared" si="65"/>
        <v>131.5</v>
      </c>
      <c r="BQ49" s="21">
        <f t="shared" si="66"/>
        <v>127.74500332889629</v>
      </c>
      <c r="BR49" s="19"/>
      <c r="BS49" s="21">
        <f t="shared" si="75"/>
        <v>0.05711021553009458</v>
      </c>
      <c r="BT49" s="21">
        <f t="shared" si="76"/>
        <v>0.7663118206456527</v>
      </c>
      <c r="BU49" s="6">
        <f t="shared" si="17"/>
        <v>-295163.4</v>
      </c>
      <c r="BV49" s="6">
        <f t="shared" si="18"/>
        <v>-590326.8</v>
      </c>
      <c r="BW49" s="6">
        <f t="shared" si="30"/>
        <v>-1.4758184691694471</v>
      </c>
      <c r="BX49" s="25">
        <f t="shared" si="56"/>
        <v>83309.48571428566</v>
      </c>
      <c r="BY49" s="25">
        <f t="shared" si="57"/>
        <v>304278.0642857143</v>
      </c>
      <c r="BZ49" s="26">
        <f t="shared" si="58"/>
        <v>0.7589588419805054</v>
      </c>
      <c r="CA49" s="33">
        <f t="shared" si="62"/>
        <v>1.0267175572519085</v>
      </c>
      <c r="CB49" s="27">
        <f t="shared" si="63"/>
        <v>0.38418643152839194</v>
      </c>
      <c r="CC49" s="66">
        <f t="shared" si="31"/>
        <v>134.83333333333334</v>
      </c>
      <c r="CD49" s="56">
        <f t="shared" si="32"/>
        <v>133.66666666666669</v>
      </c>
      <c r="CE49" s="66">
        <f t="shared" si="33"/>
        <v>135.66666666666669</v>
      </c>
      <c r="CF49" s="56">
        <f t="shared" si="34"/>
        <v>132.83333333333331</v>
      </c>
      <c r="CG49" s="66">
        <f t="shared" si="35"/>
        <v>136.83333333333334</v>
      </c>
      <c r="CH49" s="56">
        <f t="shared" si="36"/>
        <v>131.66666666666666</v>
      </c>
      <c r="CI49" s="66">
        <f t="shared" si="37"/>
        <v>138</v>
      </c>
      <c r="CJ49" s="56">
        <f t="shared" si="38"/>
        <v>130.83333333333331</v>
      </c>
      <c r="CK49" s="66">
        <f t="shared" si="39"/>
        <v>138.83333333333337</v>
      </c>
      <c r="CL49" s="84">
        <f t="shared" si="67"/>
        <v>135.025</v>
      </c>
      <c r="CM49" s="84">
        <f t="shared" si="68"/>
        <v>131.75</v>
      </c>
      <c r="CN49" s="84">
        <f t="shared" si="69"/>
        <v>127.975</v>
      </c>
      <c r="CO49" s="3">
        <f t="shared" si="70"/>
        <v>-2.684707835148544</v>
      </c>
      <c r="CP49" s="3">
        <f t="shared" si="71"/>
        <v>-0.049090998532857415</v>
      </c>
      <c r="CQ49" s="3">
        <f t="shared" si="72"/>
        <v>6.014413220546495</v>
      </c>
      <c r="CR49">
        <f t="shared" si="73"/>
        <v>0.04942956212291027</v>
      </c>
      <c r="CS49" s="3">
        <f t="shared" si="74"/>
        <v>6.0144081224934585</v>
      </c>
    </row>
    <row r="50" spans="1:97" ht="12.75">
      <c r="A50" s="83">
        <v>37931</v>
      </c>
      <c r="B50" s="53">
        <v>134.5</v>
      </c>
      <c r="C50" s="52">
        <v>137</v>
      </c>
      <c r="D50" s="53">
        <v>133.5</v>
      </c>
      <c r="E50" s="52">
        <v>136</v>
      </c>
      <c r="F50" s="4">
        <v>2702830</v>
      </c>
      <c r="G50" s="4">
        <f t="shared" si="121"/>
        <v>543.5</v>
      </c>
      <c r="H50" s="4">
        <f t="shared" si="122"/>
        <v>0</v>
      </c>
      <c r="I50" s="4">
        <f t="shared" si="123"/>
        <v>0</v>
      </c>
      <c r="J50" s="9">
        <f t="shared" si="19"/>
        <v>134.25</v>
      </c>
      <c r="K50" s="9">
        <f t="shared" si="20"/>
        <v>131.75</v>
      </c>
      <c r="L50" s="6">
        <f t="shared" si="86"/>
        <v>144.090573012939</v>
      </c>
      <c r="M50" s="6">
        <f t="shared" si="87"/>
        <v>126.590573012939</v>
      </c>
      <c r="N50" s="13">
        <f t="shared" si="115"/>
        <v>139.53446946415477</v>
      </c>
      <c r="O50" s="13">
        <f t="shared" si="116"/>
        <v>131.7</v>
      </c>
      <c r="P50" s="13">
        <f t="shared" si="117"/>
        <v>124.2844694641548</v>
      </c>
      <c r="Q50" s="1">
        <f>ABS(C50-D50)</f>
        <v>3.5</v>
      </c>
      <c r="R50" s="1">
        <f>ABS(C50-E49)</f>
        <v>3.5</v>
      </c>
      <c r="S50" s="1">
        <f>ABS(D50-E49)</f>
        <v>0</v>
      </c>
      <c r="T50" s="6">
        <f>IF(Q50&gt;R50,Q50,R50)</f>
        <v>3.5</v>
      </c>
      <c r="U50" s="6">
        <f>IF(S50&gt;T50,S50,T50)</f>
        <v>3.5</v>
      </c>
      <c r="V50" s="3">
        <f>IF(C50-C49&gt;0,C50-C49,0)</f>
        <v>2</v>
      </c>
      <c r="W50" s="3">
        <f>IF(D50&lt;D49,D49-D50,0)</f>
        <v>0</v>
      </c>
      <c r="X50" s="3">
        <f>IF(V50=W50,0,V50)</f>
        <v>2</v>
      </c>
      <c r="Y50" s="3">
        <f>IF(V50=W50,0,W50)</f>
        <v>0</v>
      </c>
      <c r="Z50" s="3">
        <f>IF(X50&gt;Y50,X50,0)</f>
        <v>2</v>
      </c>
      <c r="AA50" s="3">
        <f>IF(Y50&gt;X50,Y50,0)</f>
        <v>0</v>
      </c>
      <c r="AB50" s="30">
        <f>SUM(U37:U50)</f>
        <v>39</v>
      </c>
      <c r="AC50" s="6">
        <f aca="true" t="shared" si="130" ref="AC50:AD52">SUM(Z37:Z50)</f>
        <v>10.5</v>
      </c>
      <c r="AD50" s="6">
        <f t="shared" si="130"/>
        <v>7.5</v>
      </c>
      <c r="AE50" s="16">
        <f t="shared" si="124"/>
        <v>27</v>
      </c>
      <c r="AF50" s="16">
        <f t="shared" si="125"/>
        <v>19</v>
      </c>
      <c r="AG50" s="1">
        <f t="shared" si="126"/>
        <v>8</v>
      </c>
      <c r="AH50" s="1">
        <f t="shared" si="127"/>
        <v>46</v>
      </c>
      <c r="AI50" s="16">
        <f t="shared" si="128"/>
        <v>17</v>
      </c>
      <c r="AJ50" s="16">
        <f t="shared" si="129"/>
        <v>22.642857142857142</v>
      </c>
      <c r="AK50" s="16">
        <f t="shared" si="112"/>
        <v>23</v>
      </c>
      <c r="AL50" s="16">
        <f>AB50*AK50</f>
        <v>897</v>
      </c>
      <c r="AM50" s="59">
        <f t="shared" si="100"/>
        <v>9</v>
      </c>
      <c r="AO50" s="58">
        <f>MAX($E$26:E49)-AM49</f>
        <v>127.5</v>
      </c>
      <c r="AQ50" s="1">
        <f t="shared" si="16"/>
        <v>135.5</v>
      </c>
      <c r="AR50" s="38">
        <f t="shared" si="21"/>
        <v>132.4</v>
      </c>
      <c r="AS50" s="39">
        <f t="shared" si="22"/>
        <v>134.9</v>
      </c>
      <c r="AT50" s="38">
        <f t="shared" si="23"/>
        <v>137.4</v>
      </c>
      <c r="AU50" s="39">
        <f t="shared" si="24"/>
        <v>129.9</v>
      </c>
      <c r="AV50" s="1">
        <f t="shared" si="25"/>
        <v>0</v>
      </c>
      <c r="AW50" s="1">
        <f t="shared" si="26"/>
        <v>0</v>
      </c>
      <c r="AX50" s="1">
        <f t="shared" si="118"/>
        <v>132.5</v>
      </c>
      <c r="AY50" s="1">
        <f t="shared" si="40"/>
        <v>136</v>
      </c>
      <c r="AZ50" s="75" t="s">
        <v>210</v>
      </c>
      <c r="BB50" s="41">
        <f t="shared" si="119"/>
        <v>128.3227390464</v>
      </c>
      <c r="BC50" s="3">
        <f>MAX($C$45:C50)</f>
        <v>137</v>
      </c>
      <c r="BD50" s="3">
        <f t="shared" si="114"/>
        <v>8.677260953600012</v>
      </c>
      <c r="BE50" s="3">
        <f>MIN(IF(MAX($C$45:C50)&gt;MAX(C$45:$C49),BE49+0.02,BE49),0.2)</f>
        <v>0.06</v>
      </c>
      <c r="BF50" s="3">
        <f t="shared" si="120"/>
        <v>0.5206356572160007</v>
      </c>
      <c r="BJ50" s="5">
        <f t="shared" si="28"/>
        <v>2.5</v>
      </c>
      <c r="BK50" s="5">
        <f t="shared" si="29"/>
        <v>0</v>
      </c>
      <c r="BL50" s="3">
        <f t="shared" si="53"/>
        <v>0.7857142857142857</v>
      </c>
      <c r="BM50" s="3">
        <f t="shared" si="54"/>
        <v>0.4642857142857143</v>
      </c>
      <c r="BN50" s="30">
        <f t="shared" si="55"/>
        <v>62.85714285714286</v>
      </c>
      <c r="BO50" s="21">
        <f t="shared" si="64"/>
        <v>135.93556371690946</v>
      </c>
      <c r="BP50" s="21">
        <f t="shared" si="65"/>
        <v>131.7</v>
      </c>
      <c r="BQ50" s="21">
        <f t="shared" si="66"/>
        <v>127.46443628309052</v>
      </c>
      <c r="BR50" s="19"/>
      <c r="BS50" s="21">
        <f t="shared" si="75"/>
        <v>0.06432139281563354</v>
      </c>
      <c r="BT50" s="21">
        <f t="shared" si="76"/>
        <v>1.007606576998629</v>
      </c>
      <c r="BU50" s="6">
        <f t="shared" si="17"/>
        <v>1158355.7142857143</v>
      </c>
      <c r="BV50" s="6">
        <f t="shared" si="18"/>
        <v>1158355.7142857143</v>
      </c>
      <c r="BW50" s="6">
        <f t="shared" si="30"/>
        <v>2.702828524181531</v>
      </c>
      <c r="BX50" s="25">
        <f t="shared" si="56"/>
        <v>59293.965306122416</v>
      </c>
      <c r="BY50" s="25">
        <f t="shared" si="57"/>
        <v>173507.32959183672</v>
      </c>
      <c r="BZ50" s="26">
        <f t="shared" si="58"/>
        <v>0.5249979732445562</v>
      </c>
      <c r="CA50" s="33">
        <f t="shared" si="62"/>
        <v>1.0263110143349663</v>
      </c>
      <c r="CB50" s="27">
        <f t="shared" si="63"/>
        <v>0.40874798555721864</v>
      </c>
      <c r="CC50" s="66">
        <f t="shared" si="31"/>
        <v>133.66666666666666</v>
      </c>
      <c r="CD50" s="56">
        <f t="shared" si="32"/>
        <v>132.33333333333331</v>
      </c>
      <c r="CE50" s="66">
        <f t="shared" si="33"/>
        <v>134.83333333333331</v>
      </c>
      <c r="CF50" s="56">
        <f t="shared" si="34"/>
        <v>131.16666666666669</v>
      </c>
      <c r="CG50" s="66">
        <f t="shared" si="35"/>
        <v>136.16666666666666</v>
      </c>
      <c r="CH50" s="56">
        <f t="shared" si="36"/>
        <v>129.83333333333334</v>
      </c>
      <c r="CI50" s="66">
        <f t="shared" si="37"/>
        <v>137.5</v>
      </c>
      <c r="CJ50" s="56">
        <f t="shared" si="38"/>
        <v>128.66666666666669</v>
      </c>
      <c r="CK50" s="66">
        <f t="shared" si="39"/>
        <v>138.66666666666663</v>
      </c>
      <c r="CL50" s="84">
        <f t="shared" si="67"/>
        <v>135.7625</v>
      </c>
      <c r="CM50" s="84">
        <f t="shared" si="68"/>
        <v>131.75</v>
      </c>
      <c r="CN50" s="84">
        <f t="shared" si="69"/>
        <v>127.975</v>
      </c>
      <c r="CO50" s="3">
        <f t="shared" si="70"/>
        <v>-2.9796468551440305</v>
      </c>
      <c r="CP50" s="3">
        <f t="shared" si="71"/>
        <v>0.17684281521202339</v>
      </c>
      <c r="CQ50" s="3">
        <f t="shared" si="72"/>
        <v>7.502824088781805</v>
      </c>
      <c r="CR50">
        <f t="shared" si="73"/>
        <v>0.023484561190491058</v>
      </c>
      <c r="CS50" s="3">
        <f t="shared" si="74"/>
        <v>7.5028055981807285</v>
      </c>
    </row>
    <row r="51" spans="1:97" ht="12" customHeight="1">
      <c r="A51" s="83">
        <v>37932</v>
      </c>
      <c r="B51" s="53">
        <v>138</v>
      </c>
      <c r="C51" s="52">
        <v>140</v>
      </c>
      <c r="D51" s="53">
        <v>137</v>
      </c>
      <c r="E51" s="52">
        <v>138</v>
      </c>
      <c r="F51" s="1">
        <v>2945207</v>
      </c>
      <c r="G51" s="4">
        <f t="shared" si="121"/>
        <v>0</v>
      </c>
      <c r="H51" s="4">
        <f t="shared" si="122"/>
        <v>0</v>
      </c>
      <c r="I51" s="4">
        <f t="shared" si="123"/>
        <v>553</v>
      </c>
      <c r="J51" s="9">
        <f>(G50+H50+I50)/2-D50</f>
        <v>138.25</v>
      </c>
      <c r="K51" s="9">
        <f>(G50+H50+I50)/2-C50</f>
        <v>134.75</v>
      </c>
      <c r="L51" s="6">
        <f>C51*(1+2*((((C51-D51)/((C51+D51)/2))*1000)*0.001))</f>
        <v>146.06498194945848</v>
      </c>
      <c r="M51" s="6">
        <f>D51*(1-2*((((C51-D51)/((C51+D51)/2))*1000)*0.001))</f>
        <v>131.06498194945848</v>
      </c>
      <c r="N51" s="13">
        <f t="shared" si="115"/>
        <v>139.88429650839575</v>
      </c>
      <c r="O51" s="13">
        <f t="shared" si="116"/>
        <v>132.05</v>
      </c>
      <c r="P51" s="13">
        <f t="shared" si="117"/>
        <v>124.63429650839575</v>
      </c>
      <c r="Q51" s="1">
        <f>ABS(C51-D51)</f>
        <v>3</v>
      </c>
      <c r="R51" s="1">
        <f>ABS(C51-E50)</f>
        <v>4</v>
      </c>
      <c r="S51" s="1">
        <f>ABS(D51-E50)</f>
        <v>1</v>
      </c>
      <c r="T51" s="6">
        <f>IF(Q51&gt;R51,Q51,R51)</f>
        <v>4</v>
      </c>
      <c r="U51" s="6">
        <f>IF(S51&gt;T51,S51,T51)</f>
        <v>4</v>
      </c>
      <c r="V51" s="3">
        <f>IF(C51-C50&gt;0,C51-C50,0)</f>
        <v>3</v>
      </c>
      <c r="W51" s="3">
        <f>IF(D51&lt;D50,D50-D51,0)</f>
        <v>0</v>
      </c>
      <c r="X51" s="3">
        <f>IF(V51=W51,0,V51)</f>
        <v>3</v>
      </c>
      <c r="Y51" s="3">
        <f>IF(V51=W51,0,W51)</f>
        <v>0</v>
      </c>
      <c r="Z51" s="3">
        <f>IF(X51&gt;Y51,X51,0)</f>
        <v>3</v>
      </c>
      <c r="AA51" s="3">
        <f>IF(Y51&gt;X51,Y51,0)</f>
        <v>0</v>
      </c>
      <c r="AB51" s="30">
        <f>SUM(U38:U51)</f>
        <v>40.5</v>
      </c>
      <c r="AC51" s="6">
        <f t="shared" si="130"/>
        <v>13.5</v>
      </c>
      <c r="AD51" s="6">
        <f t="shared" si="130"/>
        <v>7.5</v>
      </c>
      <c r="AE51" s="16">
        <f t="shared" si="124"/>
        <v>33</v>
      </c>
      <c r="AF51" s="16">
        <f t="shared" si="125"/>
        <v>18</v>
      </c>
      <c r="AG51" s="1">
        <f t="shared" si="126"/>
        <v>15</v>
      </c>
      <c r="AH51" s="1">
        <f t="shared" si="127"/>
        <v>51</v>
      </c>
      <c r="AI51" s="16">
        <f t="shared" si="128"/>
        <v>29</v>
      </c>
      <c r="AJ51" s="16">
        <f t="shared" si="129"/>
        <v>23</v>
      </c>
      <c r="AK51" s="16">
        <f>ROUND((AJ37+AJ51)/2,0)</f>
        <v>24</v>
      </c>
      <c r="AL51" s="16">
        <f>AB51*AK51</f>
        <v>972</v>
      </c>
      <c r="AM51" s="59">
        <f>ROUND(3*(SUM(U45:U51)/7),0)</f>
        <v>10</v>
      </c>
      <c r="AO51" s="58">
        <f>MAX($E$26:E50)-AM50</f>
        <v>127</v>
      </c>
      <c r="AQ51" s="1">
        <f>ROUND((C51+D51+E51)/3,1)</f>
        <v>138.3</v>
      </c>
      <c r="AR51" s="38">
        <f>ROUND((2*AQ50-C50),1)</f>
        <v>134</v>
      </c>
      <c r="AS51" s="39">
        <f>ROUND((2*AQ50-D50),1)</f>
        <v>137.5</v>
      </c>
      <c r="AT51" s="38">
        <f>ROUND((2*AQ50+C50-2*D50),1)</f>
        <v>141</v>
      </c>
      <c r="AU51" s="39">
        <f>ROUND((2*AQ50+D50-2*C50),1)</f>
        <v>130.5</v>
      </c>
      <c r="AV51" s="1">
        <f t="shared" si="25"/>
        <v>0</v>
      </c>
      <c r="AW51" s="1">
        <f t="shared" si="26"/>
        <v>0</v>
      </c>
      <c r="AX51" s="1">
        <f t="shared" si="118"/>
        <v>132.5</v>
      </c>
      <c r="AY51" s="1">
        <f>MAX(C49,C50)</f>
        <v>137</v>
      </c>
      <c r="AZ51" s="78" t="s">
        <v>76</v>
      </c>
      <c r="BA51" s="68" t="s">
        <v>211</v>
      </c>
      <c r="BB51" s="41">
        <f t="shared" si="119"/>
        <v>128.84337470361598</v>
      </c>
      <c r="BC51" s="3">
        <f>MAX($C$45:C51)</f>
        <v>140</v>
      </c>
      <c r="BD51" s="3">
        <f t="shared" si="114"/>
        <v>11.156625296384021</v>
      </c>
      <c r="BE51" s="3">
        <f>MIN(IF(MAX($C$45:C51)&gt;MAX(C$45:$C50),BE50+0.02,BE50),0.2)</f>
        <v>0.08</v>
      </c>
      <c r="BF51" s="3">
        <f t="shared" si="120"/>
        <v>0.8925300237107218</v>
      </c>
      <c r="BJ51" s="5">
        <f t="shared" si="28"/>
        <v>2</v>
      </c>
      <c r="BK51" s="5">
        <f t="shared" si="29"/>
        <v>0</v>
      </c>
      <c r="BL51" s="3">
        <f t="shared" si="53"/>
        <v>0.9285714285714286</v>
      </c>
      <c r="BM51" s="3">
        <f t="shared" si="54"/>
        <v>0.42857142857142855</v>
      </c>
      <c r="BN51" s="30">
        <f t="shared" si="55"/>
        <v>68.42105263157895</v>
      </c>
      <c r="BO51" s="21">
        <f t="shared" si="64"/>
        <v>137.07891638427208</v>
      </c>
      <c r="BP51" s="21">
        <f t="shared" si="65"/>
        <v>132.05</v>
      </c>
      <c r="BQ51" s="21">
        <f t="shared" si="66"/>
        <v>127.02108361572795</v>
      </c>
      <c r="BR51" s="19"/>
      <c r="BS51" s="21">
        <f t="shared" si="75"/>
        <v>0.07616685171180712</v>
      </c>
      <c r="BT51" s="21">
        <f t="shared" si="76"/>
        <v>1.091578736386293</v>
      </c>
      <c r="BU51" s="6">
        <f t="shared" si="17"/>
        <v>-981735.6666666666</v>
      </c>
      <c r="BV51" s="6">
        <f t="shared" si="18"/>
        <v>0</v>
      </c>
      <c r="BW51" s="6">
        <f t="shared" si="30"/>
        <v>2.945209702828524</v>
      </c>
      <c r="BX51" s="25">
        <f t="shared" si="56"/>
        <v>41077.931972789105</v>
      </c>
      <c r="BY51" s="25">
        <f t="shared" si="57"/>
        <v>173507.32959183672</v>
      </c>
      <c r="BZ51" s="26">
        <f t="shared" si="58"/>
        <v>0.9949093821408305</v>
      </c>
      <c r="CA51" s="33">
        <f t="shared" si="62"/>
        <v>1.0391621129326047</v>
      </c>
      <c r="CB51" s="27">
        <f t="shared" si="63"/>
        <v>0.5237345365148958</v>
      </c>
      <c r="CC51" s="66">
        <f t="shared" si="31"/>
        <v>135.5</v>
      </c>
      <c r="CD51" s="56">
        <f t="shared" si="32"/>
        <v>134</v>
      </c>
      <c r="CE51" s="66">
        <f t="shared" si="33"/>
        <v>137.5</v>
      </c>
      <c r="CF51" s="56">
        <f t="shared" si="34"/>
        <v>132</v>
      </c>
      <c r="CG51" s="66">
        <f t="shared" si="35"/>
        <v>139</v>
      </c>
      <c r="CH51" s="56">
        <f t="shared" si="36"/>
        <v>130.5</v>
      </c>
      <c r="CI51" s="66">
        <f t="shared" si="37"/>
        <v>140.5</v>
      </c>
      <c r="CJ51" s="56">
        <f t="shared" si="38"/>
        <v>128.5</v>
      </c>
      <c r="CK51" s="66">
        <f t="shared" si="39"/>
        <v>142.5</v>
      </c>
      <c r="CL51" s="84">
        <f t="shared" si="67"/>
        <v>137.05</v>
      </c>
      <c r="CM51" s="84">
        <f t="shared" si="68"/>
        <v>132</v>
      </c>
      <c r="CN51" s="84">
        <f t="shared" si="69"/>
        <v>127.975</v>
      </c>
      <c r="CO51" s="3">
        <f t="shared" si="70"/>
        <v>-2.6686625316817865</v>
      </c>
      <c r="CP51" s="3">
        <f t="shared" si="71"/>
        <v>0.5033518889423357</v>
      </c>
      <c r="CQ51" s="3">
        <f t="shared" si="72"/>
        <v>6.779343503674594</v>
      </c>
      <c r="CR51">
        <f t="shared" si="73"/>
        <v>0.0337197435284392</v>
      </c>
      <c r="CS51" s="3">
        <f t="shared" si="74"/>
        <v>6.779332079218797</v>
      </c>
    </row>
    <row r="52" spans="1:97" ht="12.75">
      <c r="A52" s="83">
        <v>37935</v>
      </c>
      <c r="B52" s="53">
        <v>136</v>
      </c>
      <c r="C52" s="53">
        <v>136.5</v>
      </c>
      <c r="D52" s="52">
        <v>135</v>
      </c>
      <c r="E52" s="52">
        <v>135</v>
      </c>
      <c r="F52" s="1">
        <v>2083198</v>
      </c>
      <c r="G52" s="4">
        <f t="shared" si="121"/>
        <v>0</v>
      </c>
      <c r="H52" s="4">
        <f t="shared" si="122"/>
        <v>541.5</v>
      </c>
      <c r="I52" s="4">
        <f t="shared" si="123"/>
        <v>0</v>
      </c>
      <c r="J52" s="9">
        <f>(G51+H51+I51)/2-D51</f>
        <v>139.5</v>
      </c>
      <c r="K52" s="9">
        <f>(G51+H51+I51)/2-C51</f>
        <v>136.5</v>
      </c>
      <c r="L52" s="6">
        <f>C52*(1+2*((((C52-D52)/((C52+D52)/2))*1000)*0.001))</f>
        <v>139.51657458563534</v>
      </c>
      <c r="M52" s="6">
        <f>D52*(1-2*((((C52-D52)/((C52+D52)/2))*1000)*0.001))</f>
        <v>132.01657458563534</v>
      </c>
      <c r="N52" s="13">
        <f>AVERAGE(L33:L52)</f>
        <v>139.88278002191765</v>
      </c>
      <c r="O52" s="13">
        <f>AVERAGE(E33:E52)</f>
        <v>132.15</v>
      </c>
      <c r="P52" s="13">
        <f>AVERAGE(M33:M52)</f>
        <v>124.88278002191767</v>
      </c>
      <c r="Q52" s="1">
        <f>ABS(C52-D52)</f>
        <v>1.5</v>
      </c>
      <c r="R52" s="1">
        <f>ABS(C52-E51)</f>
        <v>1.5</v>
      </c>
      <c r="S52" s="1">
        <f>ABS(D52-E51)</f>
        <v>3</v>
      </c>
      <c r="T52" s="6">
        <f>IF(Q52&gt;R52,Q52,R52)</f>
        <v>1.5</v>
      </c>
      <c r="U52" s="6">
        <f>IF(S52&gt;T52,S52,T52)</f>
        <v>3</v>
      </c>
      <c r="V52" s="3">
        <f>IF(C52-C51&gt;0,C52-C51,0)</f>
        <v>0</v>
      </c>
      <c r="W52" s="3">
        <f>IF(D52&lt;D51,D51-D52,0)</f>
        <v>2</v>
      </c>
      <c r="X52" s="3">
        <f>IF(V52=W52,0,V52)</f>
        <v>0</v>
      </c>
      <c r="Y52" s="3">
        <f>IF(V52=W52,0,W52)</f>
        <v>2</v>
      </c>
      <c r="Z52" s="3">
        <f>IF(X52&gt;Y52,X52,0)</f>
        <v>0</v>
      </c>
      <c r="AA52" s="3">
        <f>IF(Y52&gt;X52,Y52,0)</f>
        <v>2</v>
      </c>
      <c r="AB52" s="30">
        <f>SUM(U39:U52)</f>
        <v>40.5</v>
      </c>
      <c r="AC52" s="6">
        <f t="shared" si="130"/>
        <v>12</v>
      </c>
      <c r="AD52" s="6">
        <f t="shared" si="130"/>
        <v>9.5</v>
      </c>
      <c r="AE52" s="16">
        <f t="shared" si="124"/>
        <v>30</v>
      </c>
      <c r="AF52" s="16">
        <f t="shared" si="125"/>
        <v>23</v>
      </c>
      <c r="AG52" s="1">
        <f t="shared" si="126"/>
        <v>7</v>
      </c>
      <c r="AH52" s="1">
        <f t="shared" si="127"/>
        <v>53</v>
      </c>
      <c r="AI52" s="16">
        <f t="shared" si="128"/>
        <v>13</v>
      </c>
      <c r="AJ52" s="16">
        <f t="shared" si="129"/>
        <v>22.142857142857142</v>
      </c>
      <c r="AK52" s="16">
        <f>ROUND((AJ38+AJ52)/2,0)</f>
        <v>24</v>
      </c>
      <c r="AL52" s="16">
        <f>AB52*AK52</f>
        <v>972</v>
      </c>
      <c r="AM52" s="59">
        <f>ROUND(3*(SUM(U46:U52)/7),0)</f>
        <v>9</v>
      </c>
      <c r="AO52" s="58">
        <f>MAX($E$26:E51)-AM51</f>
        <v>128</v>
      </c>
      <c r="AQ52" s="1">
        <f>ROUND((C52+D52+E52)/3,1)</f>
        <v>135.5</v>
      </c>
      <c r="AR52" s="38">
        <f>ROUND((2*AQ51-C51),1)</f>
        <v>136.6</v>
      </c>
      <c r="AS52" s="39">
        <f>ROUND((2*AQ51-D51),1)</f>
        <v>139.6</v>
      </c>
      <c r="AT52" s="38">
        <f>ROUND((2*AQ51+C51-2*D51),1)</f>
        <v>142.6</v>
      </c>
      <c r="AU52" s="39">
        <f>ROUND((2*AQ51+D51-2*C51),1)</f>
        <v>133.6</v>
      </c>
      <c r="AV52" s="1">
        <f t="shared" si="25"/>
        <v>0</v>
      </c>
      <c r="AW52" s="1">
        <f t="shared" si="26"/>
        <v>0</v>
      </c>
      <c r="AX52" s="1">
        <f t="shared" si="118"/>
        <v>133.5</v>
      </c>
      <c r="AY52" s="1">
        <f>MAX(C50,C51)</f>
        <v>140</v>
      </c>
      <c r="AZ52" s="73" t="s">
        <v>186</v>
      </c>
      <c r="BB52" s="41">
        <f t="shared" si="119"/>
        <v>129.7359047273267</v>
      </c>
      <c r="BC52" s="3">
        <f>MAX($C$45:C52)</f>
        <v>140</v>
      </c>
      <c r="BD52" s="3">
        <f aca="true" t="shared" si="131" ref="BD52:BD57">BC52-BB52</f>
        <v>10.264095272673302</v>
      </c>
      <c r="BE52" s="3">
        <f>MIN(IF(MAX($C$45:C52)&gt;MAX(C$45:$C51),BE51+0.02,BE51),0.2)</f>
        <v>0.08</v>
      </c>
      <c r="BF52" s="3">
        <f t="shared" si="120"/>
        <v>0.8211276218138641</v>
      </c>
      <c r="BJ52" s="5">
        <f>IF(E52&gt;E51,E52-E51,0)</f>
        <v>0</v>
      </c>
      <c r="BK52" s="5">
        <f>IF(E52&lt;E51,E51-E52,0)</f>
        <v>3</v>
      </c>
      <c r="BL52" s="3">
        <f aca="true" t="shared" si="132" ref="BL52:BM54">SUM(BJ39:BJ52)/14</f>
        <v>0.8214285714285714</v>
      </c>
      <c r="BM52" s="3">
        <f t="shared" si="132"/>
        <v>0.6428571428571429</v>
      </c>
      <c r="BN52" s="30">
        <f>100-(100/(1+(BL52/BM52)))</f>
        <v>56.09756097560975</v>
      </c>
      <c r="BO52" s="21">
        <f>AVERAGE(E33:E52)+2*STDEVP(E33:E52)</f>
        <v>137.32783738639986</v>
      </c>
      <c r="BP52" s="21">
        <f>AVERAGE(E33:E52)</f>
        <v>132.15</v>
      </c>
      <c r="BQ52" s="21">
        <f>AVERAGE(E33:E52)-2*STDEVP(E33:E52)</f>
        <v>126.97216261360016</v>
      </c>
      <c r="BR52" s="19"/>
      <c r="BS52" s="21">
        <f>(BO52-BQ52)/BP52</f>
        <v>0.07836303271131065</v>
      </c>
      <c r="BT52" s="21">
        <f>(E52-BQ52)/(BO52-BQ52)</f>
        <v>0.7752114239321053</v>
      </c>
      <c r="BU52" s="6">
        <f>(2*E52-C52-D52)/((C52-D52))*F52</f>
        <v>-2083198</v>
      </c>
      <c r="BV52" s="6">
        <f>(E52-B52)/((C52-D52))*F52</f>
        <v>-1388798.6666666665</v>
      </c>
      <c r="BW52" s="6">
        <f>(IF(E52&gt;=E51,BW51+F52,BW51-F52))/(1000000)</f>
        <v>-2.083195054790297</v>
      </c>
      <c r="BX52" s="25">
        <f aca="true" t="shared" si="133" ref="BX52:BZ53">AVERAGE(BU39:BU52)</f>
        <v>-75669.06802721089</v>
      </c>
      <c r="BY52" s="25">
        <f t="shared" si="133"/>
        <v>106360.2819727891</v>
      </c>
      <c r="BZ52" s="26">
        <f t="shared" si="133"/>
        <v>0.6858457091950966</v>
      </c>
      <c r="CA52" s="33">
        <f t="shared" si="62"/>
        <v>1.0458447488584475</v>
      </c>
      <c r="CB52" s="27">
        <f t="shared" si="63"/>
        <v>0.5743177802550186</v>
      </c>
      <c r="CC52" s="66">
        <f t="shared" si="31"/>
        <v>138.33333333333334</v>
      </c>
      <c r="CD52" s="56">
        <f t="shared" si="32"/>
        <v>136.66666666666669</v>
      </c>
      <c r="CE52" s="66">
        <f t="shared" si="33"/>
        <v>139.66666666666669</v>
      </c>
      <c r="CF52" s="56">
        <f t="shared" si="34"/>
        <v>135.33333333333331</v>
      </c>
      <c r="CG52" s="66">
        <f t="shared" si="35"/>
        <v>141.33333333333334</v>
      </c>
      <c r="CH52" s="56">
        <f t="shared" si="36"/>
        <v>133.66666666666666</v>
      </c>
      <c r="CI52" s="66">
        <f t="shared" si="37"/>
        <v>143</v>
      </c>
      <c r="CJ52" s="56">
        <f t="shared" si="38"/>
        <v>132.33333333333331</v>
      </c>
      <c r="CK52" s="66">
        <f t="shared" si="39"/>
        <v>144.33333333333337</v>
      </c>
      <c r="CL52" s="84">
        <f t="shared" si="67"/>
        <v>137.05</v>
      </c>
      <c r="CM52" s="84">
        <f t="shared" si="68"/>
        <v>132</v>
      </c>
      <c r="CN52" s="84">
        <f t="shared" si="69"/>
        <v>127.975</v>
      </c>
      <c r="CO52" s="3">
        <f t="shared" si="70"/>
        <v>-3.0748890929958326</v>
      </c>
      <c r="CP52" s="3">
        <f t="shared" si="71"/>
        <v>0.41303877314177084</v>
      </c>
      <c r="CQ52" s="3">
        <f t="shared" si="72"/>
        <v>8.447789205582142</v>
      </c>
      <c r="CR52">
        <f t="shared" si="73"/>
        <v>0.01464151045303603</v>
      </c>
      <c r="CS52" s="3">
        <f t="shared" si="74"/>
        <v>8.44775319682467</v>
      </c>
    </row>
    <row r="53" spans="1:97" ht="12.75">
      <c r="A53" s="83">
        <v>37936</v>
      </c>
      <c r="B53" s="52">
        <v>133.5</v>
      </c>
      <c r="C53" s="52">
        <v>134.5</v>
      </c>
      <c r="D53" s="52">
        <v>132.5</v>
      </c>
      <c r="E53" s="52">
        <v>134</v>
      </c>
      <c r="F53" s="1">
        <v>2083198</v>
      </c>
      <c r="G53" s="4">
        <f t="shared" si="121"/>
        <v>535.5</v>
      </c>
      <c r="H53" s="4">
        <f t="shared" si="122"/>
        <v>0</v>
      </c>
      <c r="I53" s="4">
        <f t="shared" si="123"/>
        <v>0</v>
      </c>
      <c r="J53" s="9">
        <f>(G52+H52+I52)/2-D52</f>
        <v>135.75</v>
      </c>
      <c r="K53" s="9">
        <f>(G52+H52+I52)/2-C52</f>
        <v>134.25</v>
      </c>
      <c r="L53" s="6">
        <f>C53*(1+2*((((C53-D53)/((C53+D53)/2))*1000)*0.001))</f>
        <v>138.52996254681648</v>
      </c>
      <c r="M53" s="6">
        <f>D53*(1-2*((((C53-D53)/((C53+D53)/2))*1000)*0.001))</f>
        <v>128.52996254681648</v>
      </c>
      <c r="N53" s="13">
        <f>AVERAGE(L34:L53)</f>
        <v>139.77962919290175</v>
      </c>
      <c r="O53" s="13">
        <f>AVERAGE(E34:E53)</f>
        <v>132.3</v>
      </c>
      <c r="P53" s="13">
        <f>AVERAGE(M34:M53)</f>
        <v>125.15462919290175</v>
      </c>
      <c r="Q53" s="1">
        <f>ABS(C53-D53)</f>
        <v>2</v>
      </c>
      <c r="R53" s="1">
        <f>ABS(C53-E52)</f>
        <v>0.5</v>
      </c>
      <c r="S53" s="1">
        <f>ABS(D53-E52)</f>
        <v>2.5</v>
      </c>
      <c r="T53" s="6">
        <f>IF(Q53&gt;R53,Q53,R53)</f>
        <v>2</v>
      </c>
      <c r="U53" s="6">
        <f>IF(S53&gt;T53,S53,T53)</f>
        <v>2.5</v>
      </c>
      <c r="V53" s="3">
        <f>IF(C53-C52&gt;0,C53-C52,0)</f>
        <v>0</v>
      </c>
      <c r="W53" s="3">
        <f>IF(D53&lt;D52,D52-D53,0)</f>
        <v>2.5</v>
      </c>
      <c r="X53" s="3">
        <f>IF(V53=W53,0,V53)</f>
        <v>0</v>
      </c>
      <c r="Y53" s="3">
        <f>IF(V53=W53,0,W53)</f>
        <v>2.5</v>
      </c>
      <c r="Z53" s="3">
        <f>IF(X53&gt;Y53,X53,0)</f>
        <v>0</v>
      </c>
      <c r="AA53" s="3">
        <f>IF(Y53&gt;X53,Y53,0)</f>
        <v>2.5</v>
      </c>
      <c r="AB53" s="30">
        <f>SUM(U40:U53)</f>
        <v>39</v>
      </c>
      <c r="AC53" s="6">
        <f>SUM(Z40:Z53)</f>
        <v>12</v>
      </c>
      <c r="AD53" s="6">
        <f>SUM(AA40:AA53)</f>
        <v>10</v>
      </c>
      <c r="AE53" s="16">
        <f t="shared" si="124"/>
        <v>31</v>
      </c>
      <c r="AF53" s="16">
        <f t="shared" si="125"/>
        <v>25</v>
      </c>
      <c r="AG53" s="1">
        <f t="shared" si="126"/>
        <v>6</v>
      </c>
      <c r="AH53" s="1">
        <f t="shared" si="127"/>
        <v>56</v>
      </c>
      <c r="AI53" s="16">
        <f t="shared" si="128"/>
        <v>11</v>
      </c>
      <c r="AJ53" s="16">
        <f t="shared" si="129"/>
        <v>22.285714285714285</v>
      </c>
      <c r="AK53" s="16">
        <f>ROUND((AJ39+AJ53)/2,0)</f>
        <v>24</v>
      </c>
      <c r="AL53" s="16">
        <f>AB53*AK53</f>
        <v>936</v>
      </c>
      <c r="AM53" s="59">
        <f>ROUND(3*(SUM(U47:U53)/7),0)</f>
        <v>9</v>
      </c>
      <c r="AO53" s="58">
        <f>MAX($E$26:E52)-AM52</f>
        <v>129</v>
      </c>
      <c r="AQ53" s="1">
        <f>ROUND((C53+D53+E53)/3,1)</f>
        <v>133.7</v>
      </c>
      <c r="AR53" s="38">
        <f>ROUND((2*AQ52-C52),1)</f>
        <v>134.5</v>
      </c>
      <c r="AS53" s="39">
        <f>ROUND((2*AQ52-D52),1)</f>
        <v>136</v>
      </c>
      <c r="AT53" s="38">
        <f>ROUND((2*AQ52+C52-2*D52),1)</f>
        <v>137.5</v>
      </c>
      <c r="AU53" s="39">
        <f>ROUND((2*AQ52+D52-2*C52),1)</f>
        <v>133</v>
      </c>
      <c r="AV53" s="1">
        <f>IF(C53&gt;AT53,1,0)</f>
        <v>0</v>
      </c>
      <c r="AW53" s="70">
        <f>IF(D53&lt;AU53,1,0)</f>
        <v>1</v>
      </c>
      <c r="AX53" s="1">
        <f>MIN(D51,D52)</f>
        <v>135</v>
      </c>
      <c r="AY53" s="1">
        <f>MAX(C51,C52)</f>
        <v>140</v>
      </c>
      <c r="AZ53" s="77" t="s">
        <v>216</v>
      </c>
      <c r="BB53" s="41">
        <f t="shared" si="119"/>
        <v>130.55703234914057</v>
      </c>
      <c r="BC53" s="3">
        <f>MAX($C$45:C53)</f>
        <v>140</v>
      </c>
      <c r="BD53" s="3">
        <f t="shared" si="131"/>
        <v>9.44296765085943</v>
      </c>
      <c r="BE53" s="3">
        <f>MIN(IF(MAX($C$45:C53)&gt;MAX(C$45:$C52),BE52+0.02,BE52),0.2)</f>
        <v>0.08</v>
      </c>
      <c r="BF53" s="3">
        <f aca="true" t="shared" si="134" ref="BF53:BF64">BE53*BD53</f>
        <v>0.7554374120687544</v>
      </c>
      <c r="BJ53" s="5">
        <f>IF(E53&gt;E52,E53-E52,0)</f>
        <v>0</v>
      </c>
      <c r="BK53" s="5">
        <f>IF(E53&lt;E52,E52-E53,0)</f>
        <v>1</v>
      </c>
      <c r="BL53" s="3">
        <f t="shared" si="132"/>
        <v>0.8214285714285714</v>
      </c>
      <c r="BM53" s="3">
        <f t="shared" si="132"/>
        <v>0.5</v>
      </c>
      <c r="BN53" s="30">
        <f>100-(100/(1+(BL53/BM53)))</f>
        <v>62.16216216216216</v>
      </c>
      <c r="BO53" s="21">
        <f>AVERAGE(E34:E53)+2*STDEVP(E34:E53)</f>
        <v>137.50960651105245</v>
      </c>
      <c r="BP53" s="21">
        <f>AVERAGE(E34:E53)</f>
        <v>132.3</v>
      </c>
      <c r="BQ53" s="21">
        <f>AVERAGE(E34:E53)-2*STDEVP(E34:E53)</f>
        <v>127.09039348894757</v>
      </c>
      <c r="BR53" s="19"/>
      <c r="BS53" s="21">
        <f>(BO53-BQ53)/BP53</f>
        <v>0.07875444461152595</v>
      </c>
      <c r="BT53" s="21">
        <f>(E53-BQ53)/(BO53-BQ53)</f>
        <v>0.6631601154898507</v>
      </c>
      <c r="BU53" s="6">
        <f>(2*E53-C53-D53)/((C53-D53))*F53</f>
        <v>1041599</v>
      </c>
      <c r="BV53" s="6">
        <f>(E53-B53)/((C53-D53))*F53</f>
        <v>520799.5</v>
      </c>
      <c r="BW53" s="6">
        <f>(IF(E53&gt;=E52,BW52+F53,BW52-F53))/(1000000)</f>
        <v>-2.083200083195055</v>
      </c>
      <c r="BX53" s="25">
        <f t="shared" si="133"/>
        <v>138052.0034013605</v>
      </c>
      <c r="BY53" s="25">
        <f t="shared" si="133"/>
        <v>265466.24625850347</v>
      </c>
      <c r="BZ53" s="26">
        <f t="shared" si="133"/>
        <v>0.6763666858457091</v>
      </c>
      <c r="CA53" s="33">
        <f t="shared" si="62"/>
        <v>1.0435897435897434</v>
      </c>
      <c r="CB53" s="27">
        <f t="shared" si="63"/>
        <v>0.5732059152478384</v>
      </c>
      <c r="CC53" s="66">
        <f t="shared" si="31"/>
        <v>135.5</v>
      </c>
      <c r="CD53" s="56">
        <f t="shared" si="32"/>
        <v>134.5</v>
      </c>
      <c r="CE53" s="66">
        <f t="shared" si="33"/>
        <v>136</v>
      </c>
      <c r="CF53" s="56">
        <f t="shared" si="34"/>
        <v>134</v>
      </c>
      <c r="CG53" s="66">
        <f t="shared" si="35"/>
        <v>137</v>
      </c>
      <c r="CH53" s="56">
        <f t="shared" si="36"/>
        <v>133</v>
      </c>
      <c r="CI53" s="66">
        <f t="shared" si="37"/>
        <v>138</v>
      </c>
      <c r="CJ53" s="56">
        <f t="shared" si="38"/>
        <v>132.5</v>
      </c>
      <c r="CK53" s="66">
        <f t="shared" si="39"/>
        <v>138.5</v>
      </c>
      <c r="CL53" s="84">
        <f t="shared" si="67"/>
        <v>137.05</v>
      </c>
      <c r="CM53" s="84">
        <f t="shared" si="68"/>
        <v>132</v>
      </c>
      <c r="CN53" s="84">
        <f t="shared" si="69"/>
        <v>127.975</v>
      </c>
      <c r="CO53" s="3">
        <f t="shared" si="70"/>
        <v>-3.2376656462745754</v>
      </c>
      <c r="CP53" s="3">
        <f t="shared" si="71"/>
        <v>0.24228759563378138</v>
      </c>
      <c r="CQ53" s="3">
        <f t="shared" si="72"/>
        <v>8.9310766275488</v>
      </c>
      <c r="CR53">
        <f t="shared" si="73"/>
        <v>0.011498504290898505</v>
      </c>
      <c r="CS53" s="3">
        <f t="shared" si="74"/>
        <v>8.931104878229235</v>
      </c>
    </row>
    <row r="54" spans="1:97" ht="12.75">
      <c r="A54" s="83">
        <v>37937</v>
      </c>
      <c r="B54" s="53">
        <v>135</v>
      </c>
      <c r="C54" s="52">
        <v>136</v>
      </c>
      <c r="D54" s="53">
        <v>134.5</v>
      </c>
      <c r="E54" s="52">
        <v>136</v>
      </c>
      <c r="F54" s="1">
        <v>1499423</v>
      </c>
      <c r="G54" s="4">
        <f>IF(E54&gt;B54,C54*2+D54+E54,0)</f>
        <v>542.5</v>
      </c>
      <c r="H54" s="4">
        <f>IF(E54&lt;B54,C54+D54*2+E54,0)</f>
        <v>0</v>
      </c>
      <c r="I54" s="4">
        <f>IF(E54=B54,C54+D54+E54*2,0)</f>
        <v>0</v>
      </c>
      <c r="J54" s="9">
        <f>(G53+H53+I53)/2-D53</f>
        <v>135.25</v>
      </c>
      <c r="K54" s="9">
        <f>(G53+H53+I53)/2-C53</f>
        <v>133.25</v>
      </c>
      <c r="L54" s="6">
        <f>C54*(1+2*((((C54-D54)/((C54+D54)/2))*1000)*0.001))</f>
        <v>139.01663585951943</v>
      </c>
      <c r="M54" s="6">
        <f>D54*(1-2*((((C54-D54)/((C54+D54)/2))*1000)*0.001))</f>
        <v>131.51663585951943</v>
      </c>
      <c r="N54" s="13">
        <f>AVERAGE(L35:L54)</f>
        <v>139.82808906936918</v>
      </c>
      <c r="O54" s="13">
        <f>AVERAGE(E35:E54)</f>
        <v>132.5</v>
      </c>
      <c r="P54" s="13">
        <f>AVERAGE(M35:M54)</f>
        <v>125.45308906936921</v>
      </c>
      <c r="Q54" s="1">
        <f>ABS(C54-D54)</f>
        <v>1.5</v>
      </c>
      <c r="R54" s="1">
        <f>ABS(C54-E53)</f>
        <v>2</v>
      </c>
      <c r="S54" s="1">
        <f>ABS(D54-E53)</f>
        <v>0.5</v>
      </c>
      <c r="T54" s="6">
        <f>IF(Q54&gt;R54,Q54,R54)</f>
        <v>2</v>
      </c>
      <c r="U54" s="6">
        <f>IF(S54&gt;T54,S54,T54)</f>
        <v>2</v>
      </c>
      <c r="V54" s="3">
        <f>IF(C54-C53&gt;0,C54-C53,0)</f>
        <v>1.5</v>
      </c>
      <c r="W54" s="3">
        <f>IF(D54&lt;D53,D53-D54,0)</f>
        <v>0</v>
      </c>
      <c r="X54" s="3">
        <f>IF(V54=W54,0,V54)</f>
        <v>1.5</v>
      </c>
      <c r="Y54" s="3">
        <f>IF(V54=W54,0,W54)</f>
        <v>0</v>
      </c>
      <c r="Z54" s="3">
        <f>IF(X54&gt;Y54,X54,0)</f>
        <v>1.5</v>
      </c>
      <c r="AA54" s="3">
        <f>IF(Y54&gt;X54,Y54,0)</f>
        <v>0</v>
      </c>
      <c r="AB54" s="30">
        <f>SUM(U41:U54)</f>
        <v>38</v>
      </c>
      <c r="AC54" s="6">
        <f>SUM(Z41:Z54)</f>
        <v>13.5</v>
      </c>
      <c r="AD54" s="6">
        <f>SUM(AA41:AA54)</f>
        <v>7.5</v>
      </c>
      <c r="AE54" s="16">
        <f t="shared" si="124"/>
        <v>36</v>
      </c>
      <c r="AF54" s="16">
        <f t="shared" si="125"/>
        <v>19</v>
      </c>
      <c r="AG54" s="1">
        <f t="shared" si="126"/>
        <v>17</v>
      </c>
      <c r="AH54" s="1">
        <f t="shared" si="127"/>
        <v>55</v>
      </c>
      <c r="AI54" s="16">
        <f t="shared" si="128"/>
        <v>31</v>
      </c>
      <c r="AJ54" s="16">
        <f t="shared" si="129"/>
        <v>22.214285714285715</v>
      </c>
      <c r="AK54" s="16">
        <f>ROUND((AJ40+AJ54)/2,0)</f>
        <v>25</v>
      </c>
      <c r="AL54" s="16">
        <f>AB54*AK54</f>
        <v>950</v>
      </c>
      <c r="AM54" s="59">
        <f>ROUND(3*(SUM(U48:U54)/7),0)</f>
        <v>8</v>
      </c>
      <c r="AO54" s="58">
        <f>MAX($E$26:E53)-AM53</f>
        <v>129</v>
      </c>
      <c r="AQ54" s="1">
        <f>ROUND((C54+D54+E54)/3,1)</f>
        <v>135.5</v>
      </c>
      <c r="AR54" s="38">
        <f>ROUND((2*AQ53-C53),1)</f>
        <v>132.9</v>
      </c>
      <c r="AS54" s="39">
        <f>ROUND((2*AQ53-D53),1)</f>
        <v>134.9</v>
      </c>
      <c r="AT54" s="38">
        <f>ROUND((2*AQ53+C53-2*D53),1)</f>
        <v>136.9</v>
      </c>
      <c r="AU54" s="39">
        <f>ROUND((2*AQ53+D53-2*C53),1)</f>
        <v>130.9</v>
      </c>
      <c r="AV54" s="1">
        <f>IF(C54&gt;AT54,1,0)</f>
        <v>0</v>
      </c>
      <c r="AW54" s="1">
        <f>IF(D54&lt;AU54,1,0)</f>
        <v>0</v>
      </c>
      <c r="AX54" s="1">
        <f>MIN(D52,D53)</f>
        <v>132.5</v>
      </c>
      <c r="AY54" s="1">
        <f>MAX(C52,C53)</f>
        <v>136.5</v>
      </c>
      <c r="AZ54" s="73" t="s">
        <v>186</v>
      </c>
      <c r="BB54" s="41">
        <f t="shared" si="119"/>
        <v>131.31246976120931</v>
      </c>
      <c r="BC54" s="3">
        <f>MAX($C$45:C54)</f>
        <v>140</v>
      </c>
      <c r="BD54" s="3">
        <f t="shared" si="131"/>
        <v>8.687530238790686</v>
      </c>
      <c r="BE54" s="3">
        <f>MIN(IF(MAX($C$45:C54)&gt;MAX(C$45:$C53),BE53+0.02,BE53),0.2)</f>
        <v>0.08</v>
      </c>
      <c r="BF54" s="3">
        <f t="shared" si="134"/>
        <v>0.6950024191032549</v>
      </c>
      <c r="BJ54" s="5">
        <f>IF(E54&gt;E53,E54-E53,0)</f>
        <v>2</v>
      </c>
      <c r="BK54" s="5">
        <f>IF(E54&lt;E53,E53-E54,0)</f>
        <v>0</v>
      </c>
      <c r="BL54" s="3">
        <f t="shared" si="132"/>
        <v>0.9642857142857143</v>
      </c>
      <c r="BM54" s="3">
        <f t="shared" si="132"/>
        <v>0.42857142857142855</v>
      </c>
      <c r="BN54" s="30">
        <f>100-(100/(1+(BL54/BM54)))</f>
        <v>69.23076923076923</v>
      </c>
      <c r="BO54" s="21">
        <f>AVERAGE(E35:E54)+2*STDEVP(E35:E54)</f>
        <v>137.94977063737548</v>
      </c>
      <c r="BP54" s="21">
        <f>AVERAGE(E35:E54)</f>
        <v>132.5</v>
      </c>
      <c r="BQ54" s="21">
        <f>AVERAGE(E35:E54)-2*STDEVP(E35:E54)</f>
        <v>127.05022936262452</v>
      </c>
      <c r="BR54" s="19"/>
      <c r="BS54" s="21">
        <f>(BO54-BQ54)/BP54</f>
        <v>0.08226068886604497</v>
      </c>
      <c r="BT54" s="21">
        <f>(E54-BQ54)/(BO54-BQ54)</f>
        <v>0.8211144314951888</v>
      </c>
      <c r="BU54" s="6">
        <f>(2*E54-C54-D54)/((C54-D54))*F54</f>
        <v>1499423</v>
      </c>
      <c r="BV54" s="6">
        <f>(E54-B54)/((C54-D54))*F54</f>
        <v>999615.3333333333</v>
      </c>
      <c r="BW54" s="6">
        <f>(IF(E54&gt;=E53,BW53+F54,BW53-F54))/(1000000)</f>
        <v>1.4994209167999168</v>
      </c>
      <c r="BX54" s="25">
        <f>AVERAGE(BU41:BU54)</f>
        <v>245153.64625850337</v>
      </c>
      <c r="BY54" s="25">
        <f>AVERAGE(BV41:BV54)</f>
        <v>307452.2105442177</v>
      </c>
      <c r="BZ54" s="26">
        <f>AVERAGE(BW41:BW54)</f>
        <v>0.9599591049381144</v>
      </c>
      <c r="CA54" s="33">
        <f t="shared" si="62"/>
        <v>1.0356164383561643</v>
      </c>
      <c r="CB54" s="27">
        <f t="shared" si="63"/>
        <v>0.6813060412605811</v>
      </c>
      <c r="CC54" s="66">
        <f t="shared" si="31"/>
        <v>133.66666666666666</v>
      </c>
      <c r="CD54" s="56">
        <f t="shared" si="32"/>
        <v>132.83333333333331</v>
      </c>
      <c r="CE54" s="66">
        <f t="shared" si="33"/>
        <v>134.83333333333331</v>
      </c>
      <c r="CF54" s="56">
        <f t="shared" si="34"/>
        <v>131.66666666666669</v>
      </c>
      <c r="CG54" s="66">
        <f t="shared" si="35"/>
        <v>135.66666666666666</v>
      </c>
      <c r="CH54" s="56">
        <f t="shared" si="36"/>
        <v>130.83333333333334</v>
      </c>
      <c r="CI54" s="66">
        <f t="shared" si="37"/>
        <v>136.5</v>
      </c>
      <c r="CJ54" s="56">
        <f t="shared" si="38"/>
        <v>129.66666666666669</v>
      </c>
      <c r="CK54" s="66">
        <f t="shared" si="39"/>
        <v>137.66666666666663</v>
      </c>
      <c r="CL54" s="84">
        <f t="shared" si="67"/>
        <v>137.05</v>
      </c>
      <c r="CM54" s="84">
        <f t="shared" si="68"/>
        <v>132.25</v>
      </c>
      <c r="CN54" s="84">
        <f t="shared" si="69"/>
        <v>127.975</v>
      </c>
      <c r="CO54" s="3">
        <f t="shared" si="70"/>
        <v>-3.641168734949682</v>
      </c>
      <c r="CP54" s="3">
        <f t="shared" si="71"/>
        <v>0.10839259999770916</v>
      </c>
      <c r="CQ54" s="3">
        <f t="shared" si="72"/>
        <v>11.087587982760102</v>
      </c>
      <c r="CR54">
        <f t="shared" si="73"/>
        <v>0.003911657853726505</v>
      </c>
      <c r="CS54" s="3">
        <f t="shared" si="74"/>
        <v>11.087556380395824</v>
      </c>
    </row>
    <row r="55" spans="1:97" ht="12.75">
      <c r="A55" s="83">
        <v>37938</v>
      </c>
      <c r="B55" s="52">
        <v>137</v>
      </c>
      <c r="C55" s="52">
        <v>138</v>
      </c>
      <c r="D55" s="52">
        <v>135.5</v>
      </c>
      <c r="E55" s="52">
        <v>137</v>
      </c>
      <c r="F55" s="1">
        <v>1608742</v>
      </c>
      <c r="G55" s="4">
        <f aca="true" t="shared" si="135" ref="G55:G77">IF(E55&gt;B55,C55*2+D55+E55,0)</f>
        <v>0</v>
      </c>
      <c r="H55" s="4">
        <f aca="true" t="shared" si="136" ref="H55:H77">IF(E55&lt;B55,C55+D55*2+E55,0)</f>
        <v>0</v>
      </c>
      <c r="I55" s="4">
        <f aca="true" t="shared" si="137" ref="I55:I77">IF(E55=B55,C55+D55+E55*2,0)</f>
        <v>547.5</v>
      </c>
      <c r="J55" s="9">
        <f aca="true" t="shared" si="138" ref="J55:J77">(G54+H54+I54)/2-D54</f>
        <v>136.75</v>
      </c>
      <c r="K55" s="9">
        <f aca="true" t="shared" si="139" ref="K55:K77">(G54+H54+I54)/2-C54</f>
        <v>135.25</v>
      </c>
      <c r="L55" s="6">
        <f aca="true" t="shared" si="140" ref="L55:L76">C55*(1+2*((((C55-D55)/((C55+D55)/2))*1000)*0.001))</f>
        <v>143.04570383912247</v>
      </c>
      <c r="M55" s="6">
        <f aca="true" t="shared" si="141" ref="M55:M76">D55*(1-2*((((C55-D55)/((C55+D55)/2))*1000)*0.001))</f>
        <v>130.54570383912247</v>
      </c>
      <c r="N55" s="13">
        <f aca="true" t="shared" si="142" ref="N55:N76">AVERAGE(L36:L55)</f>
        <v>139.50556805977493</v>
      </c>
      <c r="O55" s="13">
        <f aca="true" t="shared" si="143" ref="O55:O76">AVERAGE(E36:E55)</f>
        <v>132.975</v>
      </c>
      <c r="P55" s="13">
        <f aca="true" t="shared" si="144" ref="P55:P76">AVERAGE(M36:M55)</f>
        <v>126.50556805977494</v>
      </c>
      <c r="Q55" s="1">
        <f aca="true" t="shared" si="145" ref="Q55:Q76">ABS(C55-D55)</f>
        <v>2.5</v>
      </c>
      <c r="R55" s="1">
        <f aca="true" t="shared" si="146" ref="R55:R76">ABS(C55-E54)</f>
        <v>2</v>
      </c>
      <c r="S55" s="1">
        <f aca="true" t="shared" si="147" ref="S55:S76">ABS(D55-E54)</f>
        <v>0.5</v>
      </c>
      <c r="T55" s="6">
        <f aca="true" t="shared" si="148" ref="T55:T76">IF(Q55&gt;R55,Q55,R55)</f>
        <v>2.5</v>
      </c>
      <c r="U55" s="6">
        <f aca="true" t="shared" si="149" ref="U55:U76">IF(S55&gt;T55,S55,T55)</f>
        <v>2.5</v>
      </c>
      <c r="V55" s="3">
        <f aca="true" t="shared" si="150" ref="V55:V76">IF(C55-C54&gt;0,C55-C54,0)</f>
        <v>2</v>
      </c>
      <c r="W55" s="3">
        <f aca="true" t="shared" si="151" ref="W55:W76">IF(D55&lt;D54,D54-D55,0)</f>
        <v>0</v>
      </c>
      <c r="X55" s="3">
        <f aca="true" t="shared" si="152" ref="X55:X76">IF(V55=W55,0,V55)</f>
        <v>2</v>
      </c>
      <c r="Y55" s="3">
        <f aca="true" t="shared" si="153" ref="Y55:Y76">IF(V55=W55,0,W55)</f>
        <v>0</v>
      </c>
      <c r="Z55" s="3">
        <f aca="true" t="shared" si="154" ref="Z55:Z76">IF(X55&gt;Y55,X55,0)</f>
        <v>2</v>
      </c>
      <c r="AA55" s="3">
        <f aca="true" t="shared" si="155" ref="AA55:AA76">IF(Y55&gt;X55,Y55,0)</f>
        <v>0</v>
      </c>
      <c r="AB55" s="30">
        <f aca="true" t="shared" si="156" ref="AB55:AB76">SUM(U42:U55)</f>
        <v>38.5</v>
      </c>
      <c r="AC55" s="6">
        <f aca="true" t="shared" si="157" ref="AC55:AC76">SUM(Z42:Z55)</f>
        <v>15</v>
      </c>
      <c r="AD55" s="6">
        <f aca="true" t="shared" si="158" ref="AD55:AD76">SUM(AA42:AA55)</f>
        <v>7.5</v>
      </c>
      <c r="AE55" s="16">
        <f aca="true" t="shared" si="159" ref="AE55:AE76">ROUND(((AC55/AB55)*100),0)</f>
        <v>39</v>
      </c>
      <c r="AF55" s="16">
        <f aca="true" t="shared" si="160" ref="AF55:AF76">ROUND(TRUNC((AD55/AB55)*100),0)</f>
        <v>19</v>
      </c>
      <c r="AG55" s="1">
        <f aca="true" t="shared" si="161" ref="AG55:AG76">ABS(AE55-AF55)</f>
        <v>20</v>
      </c>
      <c r="AH55" s="1">
        <f aca="true" t="shared" si="162" ref="AH55:AH76">AE55+AF55</f>
        <v>58</v>
      </c>
      <c r="AI55" s="16">
        <f aca="true" t="shared" si="163" ref="AI55:AI76">ROUND(((AG55/AH55)*100),0)</f>
        <v>34</v>
      </c>
      <c r="AJ55" s="16">
        <f aca="true" t="shared" si="164" ref="AJ55:AJ76">SUM(AI42:AI55)/14</f>
        <v>22.5</v>
      </c>
      <c r="AK55" s="16">
        <f aca="true" t="shared" si="165" ref="AK55:AK76">ROUND((AJ41+AJ55)/2,0)</f>
        <v>25</v>
      </c>
      <c r="AL55" s="16">
        <f aca="true" t="shared" si="166" ref="AL55:AL76">AB55*AK55</f>
        <v>962.5</v>
      </c>
      <c r="AM55" s="59">
        <f aca="true" t="shared" si="167" ref="AM55:AM76">ROUND(3*(SUM(U49:U55)/7),0)</f>
        <v>9</v>
      </c>
      <c r="AO55" s="58">
        <f>MAX($E$26:E54)-AM54</f>
        <v>130</v>
      </c>
      <c r="AQ55" s="1">
        <f aca="true" t="shared" si="168" ref="AQ55:AQ76">ROUND((C55+D55+E55)/3,1)</f>
        <v>136.8</v>
      </c>
      <c r="AR55" s="38">
        <f aca="true" t="shared" si="169" ref="AR55:AR76">ROUND((2*AQ54-C54),1)</f>
        <v>135</v>
      </c>
      <c r="AS55" s="39">
        <f aca="true" t="shared" si="170" ref="AS55:AS76">ROUND((2*AQ54-D54),1)</f>
        <v>136.5</v>
      </c>
      <c r="AT55" s="38">
        <f aca="true" t="shared" si="171" ref="AT55:AT76">ROUND((2*AQ54+C54-2*D54),1)</f>
        <v>138</v>
      </c>
      <c r="AU55" s="39">
        <f aca="true" t="shared" si="172" ref="AU55:AU76">ROUND((2*AQ54+D54-2*C54),1)</f>
        <v>133.5</v>
      </c>
      <c r="AV55" s="1">
        <f aca="true" t="shared" si="173" ref="AV55:AV75">IF(C55&gt;AT55,1,0)</f>
        <v>0</v>
      </c>
      <c r="AW55" s="69">
        <f aca="true" t="shared" si="174" ref="AW55:AW76">IF(D55&lt;AU55,1,0)</f>
        <v>0</v>
      </c>
      <c r="AX55" s="1">
        <f aca="true" t="shared" si="175" ref="AX55:AX76">MIN(D53,D54)</f>
        <v>132.5</v>
      </c>
      <c r="AY55" s="1">
        <f aca="true" t="shared" si="176" ref="AY55:AY76">MAX(C53,C54)</f>
        <v>136</v>
      </c>
      <c r="AZ55" s="75" t="s">
        <v>77</v>
      </c>
      <c r="BA55" s="68" t="s">
        <v>212</v>
      </c>
      <c r="BB55" s="41">
        <f>IF(BB54+BF54&gt;MIN(D54,D53),MIN(D54,D53),BB54+BF54)</f>
        <v>132.00747218031256</v>
      </c>
      <c r="BC55" s="3">
        <f>MAX($C$45:C55)</f>
        <v>140</v>
      </c>
      <c r="BD55" s="3">
        <f t="shared" si="131"/>
        <v>7.992527819687439</v>
      </c>
      <c r="BE55" s="3">
        <f>MIN(IF(MAX($C$45:C55)&gt;MAX(C$45:$C54),BE54+0.02,BE54),0.2)</f>
        <v>0.08</v>
      </c>
      <c r="BF55" s="3">
        <f t="shared" si="134"/>
        <v>0.6394022255749952</v>
      </c>
      <c r="BJ55" s="5">
        <f aca="true" t="shared" si="177" ref="BJ55:BJ76">IF(E55&gt;E54,E55-E54,0)</f>
        <v>1</v>
      </c>
      <c r="BK55" s="5">
        <f aca="true" t="shared" si="178" ref="BK55:BK76">IF(E55&lt;E54,E54-E55,0)</f>
        <v>0</v>
      </c>
      <c r="BL55" s="3">
        <f aca="true" t="shared" si="179" ref="BL55:BL76">SUM(BJ42:BJ55)/14</f>
        <v>0.9642857142857143</v>
      </c>
      <c r="BM55" s="3">
        <f aca="true" t="shared" si="180" ref="BM55:BM76">SUM(BK42:BK55)/14</f>
        <v>0.42857142857142855</v>
      </c>
      <c r="BN55" s="30">
        <f aca="true" t="shared" si="181" ref="BN55:BN76">100-(100/(1+(BL55/BM55)))</f>
        <v>69.23076923076923</v>
      </c>
      <c r="BO55" s="21">
        <f aca="true" t="shared" si="182" ref="BO55:BO76">AVERAGE(E36:E55)+2*STDEVP(E36:E55)</f>
        <v>138.2520730523653</v>
      </c>
      <c r="BP55" s="21">
        <f aca="true" t="shared" si="183" ref="BP55:BP76">AVERAGE(E36:E55)</f>
        <v>132.975</v>
      </c>
      <c r="BQ55" s="21">
        <f aca="true" t="shared" si="184" ref="BQ55:BQ76">AVERAGE(E36:E55)-2*STDEVP(E36:E55)</f>
        <v>127.6979269476347</v>
      </c>
      <c r="BR55" s="19"/>
      <c r="BS55" s="21">
        <f aca="true" t="shared" si="185" ref="BS55:BS76">(BO55-BQ55)/BP55</f>
        <v>0.07936940105080348</v>
      </c>
      <c r="BT55" s="21">
        <f aca="true" t="shared" si="186" ref="BT55:BT76">(E55-BQ55)/(BO55-BQ55)</f>
        <v>0.881366712196254</v>
      </c>
      <c r="BU55" s="6">
        <f aca="true" t="shared" si="187" ref="BU55:BU76">(2*E55-C55-D55)/((C55-D55))*F55</f>
        <v>321748.4</v>
      </c>
      <c r="BV55" s="6">
        <f aca="true" t="shared" si="188" ref="BV55:BV76">(E55-B55)/((C55-D55))*F55</f>
        <v>0</v>
      </c>
      <c r="BW55" s="6">
        <f aca="true" t="shared" si="189" ref="BW55:BW76">(IF(E55&gt;=E54,BW54+F55,BW54-F55))/(1000000)</f>
        <v>1.6087434994209169</v>
      </c>
      <c r="BX55" s="25">
        <f aca="true" t="shared" si="190" ref="BX55:BX76">AVERAGE(BU42:BU55)</f>
        <v>268135.67482993193</v>
      </c>
      <c r="BY55" s="25">
        <f aca="true" t="shared" si="191" ref="BY55:BY76">AVERAGE(BV42:BV55)</f>
        <v>258931.85340136057</v>
      </c>
      <c r="BZ55" s="26">
        <f aca="true" t="shared" si="192" ref="BZ55:BZ76">AVERAGE(BW42:BW55)</f>
        <v>0.9778288171019623</v>
      </c>
      <c r="CA55" s="33">
        <f aca="true" t="shared" si="193" ref="CA55:CA76">AVERAGE(E53:E55)/AVERAGE(E37:E43)</f>
        <v>1.0413011695906433</v>
      </c>
      <c r="CB55" s="27">
        <f aca="true" t="shared" si="194" ref="CB55:CB76">AVERAGE(F53:F55)/AVERAGE(F37:F43)</f>
        <v>0.7893857469498403</v>
      </c>
      <c r="CC55" s="66">
        <f aca="true" t="shared" si="195" ref="CC55:CC76">(C54+D54+E54)/3</f>
        <v>135.5</v>
      </c>
      <c r="CD55" s="56">
        <f aca="true" t="shared" si="196" ref="CD55:CD76">CC55*2-C54</f>
        <v>135</v>
      </c>
      <c r="CE55" s="66">
        <f aca="true" t="shared" si="197" ref="CE55:CE76">CC55*2-D54</f>
        <v>136.5</v>
      </c>
      <c r="CF55" s="56">
        <f aca="true" t="shared" si="198" ref="CF55:CF76">CC55+CD55-CE55</f>
        <v>134</v>
      </c>
      <c r="CG55" s="66">
        <f aca="true" t="shared" si="199" ref="CG55:CG76">CC55-CD55+CE55</f>
        <v>137</v>
      </c>
      <c r="CH55" s="56">
        <f aca="true" t="shared" si="200" ref="CH55:CH76">CC55+CD55-CG55</f>
        <v>133.5</v>
      </c>
      <c r="CI55" s="66">
        <f aca="true" t="shared" si="201" ref="CI55:CI76">CC55-CD55+CG55</f>
        <v>137.5</v>
      </c>
      <c r="CJ55" s="56">
        <f aca="true" t="shared" si="202" ref="CJ55:CJ76">CC55-CG55+CF55</f>
        <v>132.5</v>
      </c>
      <c r="CK55" s="66">
        <f aca="true" t="shared" si="203" ref="CK55:CK76">CC55+CG55-CF55</f>
        <v>138.5</v>
      </c>
      <c r="CL55" s="84">
        <f t="shared" si="67"/>
        <v>137.525</v>
      </c>
      <c r="CM55" s="84">
        <f t="shared" si="68"/>
        <v>132.5</v>
      </c>
      <c r="CN55" s="84">
        <f t="shared" si="69"/>
        <v>128.975</v>
      </c>
      <c r="CO55" s="3">
        <f t="shared" si="70"/>
        <v>-3.9301094265434102</v>
      </c>
      <c r="CP55" s="3">
        <f t="shared" si="71"/>
        <v>0.16527836139393112</v>
      </c>
      <c r="CQ55" s="3">
        <f t="shared" si="72"/>
        <v>12.962523209654687</v>
      </c>
      <c r="CR55">
        <f t="shared" si="73"/>
        <v>0.0015318768365603236</v>
      </c>
      <c r="CS55" s="3">
        <f t="shared" si="74"/>
        <v>12.96245913238181</v>
      </c>
    </row>
    <row r="56" spans="1:97" ht="12.75">
      <c r="A56" s="83">
        <v>37939</v>
      </c>
      <c r="B56" s="53">
        <v>136</v>
      </c>
      <c r="C56" s="52">
        <v>137.5</v>
      </c>
      <c r="D56" s="53">
        <v>135.5</v>
      </c>
      <c r="E56" s="52">
        <v>136.5</v>
      </c>
      <c r="F56" s="1">
        <v>1813355</v>
      </c>
      <c r="G56" s="4">
        <f t="shared" si="135"/>
        <v>547</v>
      </c>
      <c r="H56" s="4">
        <f t="shared" si="136"/>
        <v>0</v>
      </c>
      <c r="I56" s="4">
        <f t="shared" si="137"/>
        <v>0</v>
      </c>
      <c r="J56" s="9">
        <f t="shared" si="138"/>
        <v>138.25</v>
      </c>
      <c r="K56" s="9">
        <f t="shared" si="139"/>
        <v>135.75</v>
      </c>
      <c r="L56" s="6">
        <f t="shared" si="140"/>
        <v>141.529304029304</v>
      </c>
      <c r="M56" s="6">
        <f t="shared" si="141"/>
        <v>131.52930402930403</v>
      </c>
      <c r="N56" s="13">
        <f t="shared" si="142"/>
        <v>139.5259263910111</v>
      </c>
      <c r="O56" s="13">
        <f t="shared" si="143"/>
        <v>133.225</v>
      </c>
      <c r="P56" s="13">
        <f t="shared" si="144"/>
        <v>127.02592639101113</v>
      </c>
      <c r="Q56" s="1">
        <f t="shared" si="145"/>
        <v>2</v>
      </c>
      <c r="R56" s="1">
        <f t="shared" si="146"/>
        <v>0.5</v>
      </c>
      <c r="S56" s="1">
        <f t="shared" si="147"/>
        <v>1.5</v>
      </c>
      <c r="T56" s="6">
        <f t="shared" si="148"/>
        <v>2</v>
      </c>
      <c r="U56" s="6">
        <f t="shared" si="149"/>
        <v>2</v>
      </c>
      <c r="V56" s="3">
        <f t="shared" si="150"/>
        <v>0</v>
      </c>
      <c r="W56" s="3">
        <f t="shared" si="151"/>
        <v>0</v>
      </c>
      <c r="X56" s="3">
        <f t="shared" si="152"/>
        <v>0</v>
      </c>
      <c r="Y56" s="3">
        <f t="shared" si="153"/>
        <v>0</v>
      </c>
      <c r="Z56" s="3">
        <f t="shared" si="154"/>
        <v>0</v>
      </c>
      <c r="AA56" s="3">
        <f t="shared" si="155"/>
        <v>0</v>
      </c>
      <c r="AB56" s="30">
        <f t="shared" si="156"/>
        <v>38.5</v>
      </c>
      <c r="AC56" s="6">
        <f t="shared" si="157"/>
        <v>15</v>
      </c>
      <c r="AD56" s="6">
        <f t="shared" si="158"/>
        <v>7.5</v>
      </c>
      <c r="AE56" s="16">
        <f t="shared" si="159"/>
        <v>39</v>
      </c>
      <c r="AF56" s="16">
        <f t="shared" si="160"/>
        <v>19</v>
      </c>
      <c r="AG56" s="1">
        <f t="shared" si="161"/>
        <v>20</v>
      </c>
      <c r="AH56" s="1">
        <f t="shared" si="162"/>
        <v>58</v>
      </c>
      <c r="AI56" s="16">
        <f t="shared" si="163"/>
        <v>34</v>
      </c>
      <c r="AJ56" s="16">
        <f t="shared" si="164"/>
        <v>23.642857142857142</v>
      </c>
      <c r="AK56" s="16">
        <f t="shared" si="165"/>
        <v>26</v>
      </c>
      <c r="AL56" s="16">
        <f t="shared" si="166"/>
        <v>1001</v>
      </c>
      <c r="AM56" s="59">
        <f t="shared" si="167"/>
        <v>8</v>
      </c>
      <c r="AO56" s="58">
        <f>MAX($E$26:E55)-AM55</f>
        <v>129</v>
      </c>
      <c r="AQ56" s="1">
        <f t="shared" si="168"/>
        <v>136.5</v>
      </c>
      <c r="AR56" s="38">
        <f t="shared" si="169"/>
        <v>135.6</v>
      </c>
      <c r="AS56" s="39">
        <f t="shared" si="170"/>
        <v>138.1</v>
      </c>
      <c r="AT56" s="38">
        <f t="shared" si="171"/>
        <v>140.6</v>
      </c>
      <c r="AU56" s="39">
        <f t="shared" si="172"/>
        <v>133.1</v>
      </c>
      <c r="AV56" s="1">
        <f t="shared" si="173"/>
        <v>0</v>
      </c>
      <c r="AW56" s="1">
        <f t="shared" si="174"/>
        <v>0</v>
      </c>
      <c r="AX56" s="1">
        <f t="shared" si="175"/>
        <v>134.5</v>
      </c>
      <c r="AY56" s="1">
        <f t="shared" si="176"/>
        <v>138</v>
      </c>
      <c r="AZ56" s="78" t="s">
        <v>188</v>
      </c>
      <c r="BB56" s="41">
        <f>IF(BB55+BF55&gt;MIN(D55,D54),MIN(D55,D54),BB55+BF55)</f>
        <v>132.64687440588756</v>
      </c>
      <c r="BC56" s="3">
        <f>MAX($C$45:C56)</f>
        <v>140</v>
      </c>
      <c r="BD56" s="3">
        <f t="shared" si="131"/>
        <v>7.353125594112441</v>
      </c>
      <c r="BE56" s="3">
        <f>MIN(IF(MAX($C$45:C56)&gt;MAX(C$45:$C55),BE55+0.02,BE55),0.2)</f>
        <v>0.08</v>
      </c>
      <c r="BF56" s="3">
        <f t="shared" si="134"/>
        <v>0.5882500475289953</v>
      </c>
      <c r="BJ56" s="5">
        <f t="shared" si="177"/>
        <v>0</v>
      </c>
      <c r="BK56" s="5">
        <f t="shared" si="178"/>
        <v>0.5</v>
      </c>
      <c r="BL56" s="3">
        <f t="shared" si="179"/>
        <v>0.9285714285714286</v>
      </c>
      <c r="BM56" s="3">
        <f t="shared" si="180"/>
        <v>0.4642857142857143</v>
      </c>
      <c r="BN56" s="30">
        <f t="shared" si="181"/>
        <v>66.66666666666666</v>
      </c>
      <c r="BO56" s="21">
        <f t="shared" si="182"/>
        <v>138.66995179042019</v>
      </c>
      <c r="BP56" s="21">
        <f t="shared" si="183"/>
        <v>133.225</v>
      </c>
      <c r="BQ56" s="21">
        <f t="shared" si="184"/>
        <v>127.7800482095798</v>
      </c>
      <c r="BR56" s="19"/>
      <c r="BS56" s="21">
        <f t="shared" si="185"/>
        <v>0.08174069116787677</v>
      </c>
      <c r="BT56" s="21">
        <f t="shared" si="186"/>
        <v>0.8007372816194642</v>
      </c>
      <c r="BU56" s="6">
        <f t="shared" si="187"/>
        <v>0</v>
      </c>
      <c r="BV56" s="6">
        <f t="shared" si="188"/>
        <v>453338.75</v>
      </c>
      <c r="BW56" s="6">
        <f t="shared" si="189"/>
        <v>-1.8133533912565005</v>
      </c>
      <c r="BX56" s="25">
        <f t="shared" si="190"/>
        <v>204964.88911564622</v>
      </c>
      <c r="BY56" s="25">
        <f t="shared" si="191"/>
        <v>291313.1926870748</v>
      </c>
      <c r="BZ56" s="26">
        <f t="shared" si="192"/>
        <v>0.7219619064002457</v>
      </c>
      <c r="CA56" s="33">
        <f t="shared" si="193"/>
        <v>1.0465498357064622</v>
      </c>
      <c r="CB56" s="27">
        <f t="shared" si="194"/>
        <v>0.8595256110545964</v>
      </c>
      <c r="CC56" s="66">
        <f t="shared" si="195"/>
        <v>136.83333333333334</v>
      </c>
      <c r="CD56" s="56">
        <f t="shared" si="196"/>
        <v>135.66666666666669</v>
      </c>
      <c r="CE56" s="66">
        <f t="shared" si="197"/>
        <v>138.16666666666669</v>
      </c>
      <c r="CF56" s="56">
        <f t="shared" si="198"/>
        <v>134.33333333333331</v>
      </c>
      <c r="CG56" s="66">
        <f t="shared" si="199"/>
        <v>139.33333333333334</v>
      </c>
      <c r="CH56" s="56">
        <f t="shared" si="200"/>
        <v>133.16666666666666</v>
      </c>
      <c r="CI56" s="66">
        <f t="shared" si="201"/>
        <v>140.5</v>
      </c>
      <c r="CJ56" s="56">
        <f t="shared" si="202"/>
        <v>131.83333333333331</v>
      </c>
      <c r="CK56" s="66">
        <f t="shared" si="203"/>
        <v>141.83333333333337</v>
      </c>
      <c r="CL56" s="84">
        <f t="shared" si="67"/>
        <v>137.525</v>
      </c>
      <c r="CM56" s="84">
        <f t="shared" si="68"/>
        <v>133</v>
      </c>
      <c r="CN56" s="84">
        <f t="shared" si="69"/>
        <v>128.975</v>
      </c>
      <c r="CO56" s="3">
        <f t="shared" si="70"/>
        <v>-4.115772012691412</v>
      </c>
      <c r="CP56" s="3">
        <f t="shared" si="71"/>
        <v>-0.022576390558973206</v>
      </c>
      <c r="CQ56" s="3">
        <f t="shared" si="72"/>
        <v>14.118015028413836</v>
      </c>
      <c r="CR56">
        <f t="shared" si="73"/>
        <v>0.0008596308421680943</v>
      </c>
      <c r="CS56" s="3">
        <f t="shared" si="74"/>
        <v>14.1175900672863</v>
      </c>
    </row>
    <row r="57" spans="1:97" ht="12.75">
      <c r="A57" s="83">
        <v>37942</v>
      </c>
      <c r="B57" s="53">
        <v>134.5</v>
      </c>
      <c r="C57" s="53">
        <v>134.5</v>
      </c>
      <c r="D57" s="52">
        <v>132</v>
      </c>
      <c r="E57" s="52">
        <v>132.5</v>
      </c>
      <c r="F57" s="1">
        <v>1823677</v>
      </c>
      <c r="G57" s="4">
        <f t="shared" si="135"/>
        <v>0</v>
      </c>
      <c r="H57" s="4">
        <f t="shared" si="136"/>
        <v>531</v>
      </c>
      <c r="I57" s="4">
        <f t="shared" si="137"/>
        <v>0</v>
      </c>
      <c r="J57" s="9">
        <f t="shared" si="138"/>
        <v>138</v>
      </c>
      <c r="K57" s="9">
        <f t="shared" si="139"/>
        <v>136</v>
      </c>
      <c r="L57" s="6">
        <f t="shared" si="140"/>
        <v>139.546904315197</v>
      </c>
      <c r="M57" s="6">
        <f t="shared" si="141"/>
        <v>127.046904315197</v>
      </c>
      <c r="N57" s="13">
        <f t="shared" si="142"/>
        <v>139.62589065439005</v>
      </c>
      <c r="O57" s="13">
        <f t="shared" si="143"/>
        <v>133.3</v>
      </c>
      <c r="P57" s="13">
        <f t="shared" si="144"/>
        <v>127.12589065439003</v>
      </c>
      <c r="Q57" s="1">
        <f t="shared" si="145"/>
        <v>2.5</v>
      </c>
      <c r="R57" s="1">
        <f t="shared" si="146"/>
        <v>2</v>
      </c>
      <c r="S57" s="1">
        <f t="shared" si="147"/>
        <v>4.5</v>
      </c>
      <c r="T57" s="6">
        <f t="shared" si="148"/>
        <v>2.5</v>
      </c>
      <c r="U57" s="6">
        <f t="shared" si="149"/>
        <v>4.5</v>
      </c>
      <c r="V57" s="3">
        <f t="shared" si="150"/>
        <v>0</v>
      </c>
      <c r="W57" s="3">
        <f t="shared" si="151"/>
        <v>3.5</v>
      </c>
      <c r="X57" s="3">
        <f t="shared" si="152"/>
        <v>0</v>
      </c>
      <c r="Y57" s="3">
        <f t="shared" si="153"/>
        <v>3.5</v>
      </c>
      <c r="Z57" s="3">
        <f t="shared" si="154"/>
        <v>0</v>
      </c>
      <c r="AA57" s="3">
        <f t="shared" si="155"/>
        <v>3.5</v>
      </c>
      <c r="AB57" s="30">
        <f t="shared" si="156"/>
        <v>41.5</v>
      </c>
      <c r="AC57" s="6">
        <f t="shared" si="157"/>
        <v>14</v>
      </c>
      <c r="AD57" s="6">
        <f t="shared" si="158"/>
        <v>11</v>
      </c>
      <c r="AE57" s="16">
        <f t="shared" si="159"/>
        <v>34</v>
      </c>
      <c r="AF57" s="16">
        <f t="shared" si="160"/>
        <v>26</v>
      </c>
      <c r="AG57" s="1">
        <f t="shared" si="161"/>
        <v>8</v>
      </c>
      <c r="AH57" s="1">
        <f t="shared" si="162"/>
        <v>60</v>
      </c>
      <c r="AI57" s="16">
        <f t="shared" si="163"/>
        <v>13</v>
      </c>
      <c r="AJ57" s="16">
        <f t="shared" si="164"/>
        <v>22.928571428571427</v>
      </c>
      <c r="AK57" s="16">
        <f t="shared" si="165"/>
        <v>26</v>
      </c>
      <c r="AL57" s="16">
        <f t="shared" si="166"/>
        <v>1079</v>
      </c>
      <c r="AM57" s="59">
        <f t="shared" si="167"/>
        <v>9</v>
      </c>
      <c r="AO57" s="58">
        <f>MAX($E$26:E56)-AM56</f>
        <v>130</v>
      </c>
      <c r="AQ57" s="1">
        <f t="shared" si="168"/>
        <v>133</v>
      </c>
      <c r="AR57" s="38">
        <f t="shared" si="169"/>
        <v>135.5</v>
      </c>
      <c r="AS57" s="39">
        <f t="shared" si="170"/>
        <v>137.5</v>
      </c>
      <c r="AT57" s="38">
        <f t="shared" si="171"/>
        <v>139.5</v>
      </c>
      <c r="AU57" s="39">
        <f t="shared" si="172"/>
        <v>133.5</v>
      </c>
      <c r="AV57" s="1">
        <f t="shared" si="173"/>
        <v>0</v>
      </c>
      <c r="AW57" s="70">
        <f t="shared" si="174"/>
        <v>1</v>
      </c>
      <c r="AX57" s="1">
        <f t="shared" si="175"/>
        <v>135.5</v>
      </c>
      <c r="AY57" s="1">
        <f t="shared" si="176"/>
        <v>138</v>
      </c>
      <c r="BA57" s="68" t="s">
        <v>214</v>
      </c>
      <c r="BB57" s="41">
        <f>IF(BB56+BF56&gt;MIN(D56,D55),MIN(D56,D55),BB56+BF56)</f>
        <v>133.23512445341655</v>
      </c>
      <c r="BC57" s="3">
        <f>MAX($C$45:C57)</f>
        <v>140</v>
      </c>
      <c r="BD57" s="3">
        <f t="shared" si="131"/>
        <v>6.764875546583454</v>
      </c>
      <c r="BE57" s="3">
        <f>MIN(IF(MAX($C$45:C57)&gt;MAX(C$45:$C56),BE56+0.02,BE56),0.2)</f>
        <v>0.08</v>
      </c>
      <c r="BF57" s="3">
        <f t="shared" si="134"/>
        <v>0.5411900437266763</v>
      </c>
      <c r="BG57" s="81"/>
      <c r="BH57" s="3">
        <v>133</v>
      </c>
      <c r="BI57" s="1">
        <v>1</v>
      </c>
      <c r="BJ57" s="5">
        <f t="shared" si="177"/>
        <v>0</v>
      </c>
      <c r="BK57" s="5">
        <f t="shared" si="178"/>
        <v>4</v>
      </c>
      <c r="BL57" s="3">
        <f t="shared" si="179"/>
        <v>0.8571428571428571</v>
      </c>
      <c r="BM57" s="3">
        <f t="shared" si="180"/>
        <v>0.75</v>
      </c>
      <c r="BN57" s="30">
        <f t="shared" si="181"/>
        <v>53.33333333333333</v>
      </c>
      <c r="BO57" s="21">
        <f t="shared" si="182"/>
        <v>138.66097006147209</v>
      </c>
      <c r="BP57" s="21">
        <f t="shared" si="183"/>
        <v>133.3</v>
      </c>
      <c r="BQ57" s="21">
        <f t="shared" si="184"/>
        <v>127.93902993852792</v>
      </c>
      <c r="BR57" s="19"/>
      <c r="BS57" s="21">
        <f t="shared" si="185"/>
        <v>0.08043465958697794</v>
      </c>
      <c r="BT57" s="21">
        <f t="shared" si="186"/>
        <v>0.4253866379753359</v>
      </c>
      <c r="BU57" s="6">
        <f t="shared" si="187"/>
        <v>-1094206.2</v>
      </c>
      <c r="BV57" s="6">
        <f t="shared" si="188"/>
        <v>-1458941.6</v>
      </c>
      <c r="BW57" s="6">
        <f t="shared" si="189"/>
        <v>-1.8236788133533914</v>
      </c>
      <c r="BX57" s="25">
        <f t="shared" si="190"/>
        <v>81114.54149659864</v>
      </c>
      <c r="BY57" s="25">
        <f t="shared" si="191"/>
        <v>141410.31649659862</v>
      </c>
      <c r="BZ57" s="26">
        <f t="shared" si="192"/>
        <v>0.4546207219619065</v>
      </c>
      <c r="CA57" s="33">
        <f t="shared" si="193"/>
        <v>1.0381735159817351</v>
      </c>
      <c r="CB57" s="27">
        <f t="shared" si="194"/>
        <v>0.9309575324166396</v>
      </c>
      <c r="CC57" s="66">
        <f t="shared" si="195"/>
        <v>136.5</v>
      </c>
      <c r="CD57" s="56">
        <f t="shared" si="196"/>
        <v>135.5</v>
      </c>
      <c r="CE57" s="66">
        <f t="shared" si="197"/>
        <v>137.5</v>
      </c>
      <c r="CF57" s="56">
        <f t="shared" si="198"/>
        <v>134.5</v>
      </c>
      <c r="CG57" s="66">
        <f t="shared" si="199"/>
        <v>138.5</v>
      </c>
      <c r="CH57" s="56">
        <f t="shared" si="200"/>
        <v>133.5</v>
      </c>
      <c r="CI57" s="66">
        <f t="shared" si="201"/>
        <v>139.5</v>
      </c>
      <c r="CJ57" s="56">
        <f t="shared" si="202"/>
        <v>132.5</v>
      </c>
      <c r="CK57" s="66">
        <f t="shared" si="203"/>
        <v>140.5</v>
      </c>
      <c r="CL57" s="84">
        <f t="shared" si="67"/>
        <v>137.525</v>
      </c>
      <c r="CM57" s="84">
        <f t="shared" si="68"/>
        <v>133</v>
      </c>
      <c r="CN57" s="84">
        <f t="shared" si="69"/>
        <v>128.975</v>
      </c>
      <c r="CO57" s="3">
        <f t="shared" si="70"/>
        <v>-3.985626603766416</v>
      </c>
      <c r="CP57" s="3">
        <f t="shared" si="71"/>
        <v>-0.08468453484219574</v>
      </c>
      <c r="CQ57" s="3">
        <f t="shared" si="72"/>
        <v>13.261587755346977</v>
      </c>
      <c r="CR57">
        <f t="shared" si="73"/>
        <v>0.0013191154539770635</v>
      </c>
      <c r="CS57" s="3">
        <f t="shared" si="74"/>
        <v>13.261381593565602</v>
      </c>
    </row>
    <row r="58" spans="1:97" ht="12.75">
      <c r="A58" s="83">
        <v>37943</v>
      </c>
      <c r="B58" s="52">
        <v>134</v>
      </c>
      <c r="C58" s="52">
        <v>135.5</v>
      </c>
      <c r="D58" s="52">
        <v>133</v>
      </c>
      <c r="E58" s="52">
        <v>134</v>
      </c>
      <c r="F58" s="1">
        <v>2072014</v>
      </c>
      <c r="G58" s="4">
        <f t="shared" si="135"/>
        <v>0</v>
      </c>
      <c r="H58" s="4">
        <f t="shared" si="136"/>
        <v>0</v>
      </c>
      <c r="I58" s="4">
        <f t="shared" si="137"/>
        <v>536.5</v>
      </c>
      <c r="J58" s="9">
        <f t="shared" si="138"/>
        <v>133.5</v>
      </c>
      <c r="K58" s="9">
        <f t="shared" si="139"/>
        <v>131</v>
      </c>
      <c r="L58" s="6">
        <f t="shared" si="140"/>
        <v>140.5465549348231</v>
      </c>
      <c r="M58" s="6">
        <f t="shared" si="141"/>
        <v>128.0465549348231</v>
      </c>
      <c r="N58" s="13">
        <f t="shared" si="142"/>
        <v>139.700864352167</v>
      </c>
      <c r="O58" s="13">
        <f t="shared" si="143"/>
        <v>133.375</v>
      </c>
      <c r="P58" s="13">
        <f t="shared" si="144"/>
        <v>127.20086435216699</v>
      </c>
      <c r="Q58" s="1">
        <f t="shared" si="145"/>
        <v>2.5</v>
      </c>
      <c r="R58" s="1">
        <f t="shared" si="146"/>
        <v>3</v>
      </c>
      <c r="S58" s="1">
        <f t="shared" si="147"/>
        <v>0.5</v>
      </c>
      <c r="T58" s="6">
        <f t="shared" si="148"/>
        <v>3</v>
      </c>
      <c r="U58" s="6">
        <f t="shared" si="149"/>
        <v>3</v>
      </c>
      <c r="V58" s="3">
        <f t="shared" si="150"/>
        <v>1</v>
      </c>
      <c r="W58" s="3">
        <f t="shared" si="151"/>
        <v>0</v>
      </c>
      <c r="X58" s="3">
        <f t="shared" si="152"/>
        <v>1</v>
      </c>
      <c r="Y58" s="3">
        <f t="shared" si="153"/>
        <v>0</v>
      </c>
      <c r="Z58" s="3">
        <f t="shared" si="154"/>
        <v>1</v>
      </c>
      <c r="AA58" s="3">
        <f t="shared" si="155"/>
        <v>0</v>
      </c>
      <c r="AB58" s="30">
        <f t="shared" si="156"/>
        <v>42</v>
      </c>
      <c r="AC58" s="6">
        <f t="shared" si="157"/>
        <v>13</v>
      </c>
      <c r="AD58" s="6">
        <f t="shared" si="158"/>
        <v>11</v>
      </c>
      <c r="AE58" s="16">
        <f t="shared" si="159"/>
        <v>31</v>
      </c>
      <c r="AF58" s="16">
        <f t="shared" si="160"/>
        <v>26</v>
      </c>
      <c r="AG58" s="1">
        <f t="shared" si="161"/>
        <v>5</v>
      </c>
      <c r="AH58" s="1">
        <f t="shared" si="162"/>
        <v>57</v>
      </c>
      <c r="AI58" s="16">
        <f t="shared" si="163"/>
        <v>9</v>
      </c>
      <c r="AJ58" s="16">
        <f t="shared" si="164"/>
        <v>21.785714285714285</v>
      </c>
      <c r="AK58" s="16">
        <f t="shared" si="165"/>
        <v>25</v>
      </c>
      <c r="AL58" s="16">
        <f t="shared" si="166"/>
        <v>1050</v>
      </c>
      <c r="AM58" s="59">
        <f t="shared" si="167"/>
        <v>8</v>
      </c>
      <c r="AO58" s="58">
        <f>MAX($E$26:E57)-AM57</f>
        <v>129</v>
      </c>
      <c r="AQ58" s="1">
        <f t="shared" si="168"/>
        <v>134.2</v>
      </c>
      <c r="AR58" s="38">
        <f t="shared" si="169"/>
        <v>131.5</v>
      </c>
      <c r="AS58" s="39">
        <f t="shared" si="170"/>
        <v>134</v>
      </c>
      <c r="AT58" s="38">
        <f t="shared" si="171"/>
        <v>136.5</v>
      </c>
      <c r="AU58" s="39">
        <f t="shared" si="172"/>
        <v>129</v>
      </c>
      <c r="AV58" s="1">
        <f t="shared" si="173"/>
        <v>0</v>
      </c>
      <c r="AW58" s="1">
        <f t="shared" si="174"/>
        <v>0</v>
      </c>
      <c r="AX58" s="1">
        <f t="shared" si="175"/>
        <v>132</v>
      </c>
      <c r="AY58" s="1">
        <f t="shared" si="176"/>
        <v>137.5</v>
      </c>
      <c r="AZ58" s="76"/>
      <c r="BB58" s="37">
        <f>MAX($C$45:C57)</f>
        <v>140</v>
      </c>
      <c r="BC58" s="3">
        <f>D58</f>
        <v>133</v>
      </c>
      <c r="BD58" s="3">
        <f>BB58-BC58</f>
        <v>7</v>
      </c>
      <c r="BE58" s="12">
        <v>0.02</v>
      </c>
      <c r="BF58" s="3">
        <f t="shared" si="134"/>
        <v>0.14</v>
      </c>
      <c r="BG58" s="12">
        <v>134</v>
      </c>
      <c r="BJ58" s="5">
        <f t="shared" si="177"/>
        <v>1.5</v>
      </c>
      <c r="BK58" s="5">
        <f t="shared" si="178"/>
        <v>0</v>
      </c>
      <c r="BL58" s="3">
        <f t="shared" si="179"/>
        <v>0.8928571428571429</v>
      </c>
      <c r="BM58" s="3">
        <f t="shared" si="180"/>
        <v>0.75</v>
      </c>
      <c r="BN58" s="30">
        <f t="shared" si="181"/>
        <v>54.34782608695652</v>
      </c>
      <c r="BO58" s="21">
        <f t="shared" si="182"/>
        <v>138.73107132140714</v>
      </c>
      <c r="BP58" s="21">
        <f t="shared" si="183"/>
        <v>133.375</v>
      </c>
      <c r="BQ58" s="21">
        <f t="shared" si="184"/>
        <v>128.01892867859286</v>
      </c>
      <c r="BR58" s="19"/>
      <c r="BS58" s="21">
        <f t="shared" si="185"/>
        <v>0.0803159710801446</v>
      </c>
      <c r="BT58" s="21">
        <f t="shared" si="186"/>
        <v>0.558345003501167</v>
      </c>
      <c r="BU58" s="6">
        <f t="shared" si="187"/>
        <v>-414402.80000000005</v>
      </c>
      <c r="BV58" s="6">
        <f t="shared" si="188"/>
        <v>0</v>
      </c>
      <c r="BW58" s="6">
        <f t="shared" si="189"/>
        <v>2.0720121763211865</v>
      </c>
      <c r="BX58" s="25">
        <f t="shared" si="190"/>
        <v>75068.85578231294</v>
      </c>
      <c r="BY58" s="25">
        <f t="shared" si="191"/>
        <v>188519.34506802724</v>
      </c>
      <c r="BZ58" s="26">
        <f t="shared" si="192"/>
        <v>0.4848488831921505</v>
      </c>
      <c r="CA58" s="33">
        <f t="shared" si="193"/>
        <v>1.027125432368469</v>
      </c>
      <c r="CB58" s="27">
        <f t="shared" si="194"/>
        <v>0.9999841857489876</v>
      </c>
      <c r="CC58" s="66">
        <f t="shared" si="195"/>
        <v>133</v>
      </c>
      <c r="CD58" s="56">
        <f t="shared" si="196"/>
        <v>131.5</v>
      </c>
      <c r="CE58" s="66">
        <f t="shared" si="197"/>
        <v>134</v>
      </c>
      <c r="CF58" s="56">
        <f t="shared" si="198"/>
        <v>130.5</v>
      </c>
      <c r="CG58" s="66">
        <f t="shared" si="199"/>
        <v>135.5</v>
      </c>
      <c r="CH58" s="56">
        <f t="shared" si="200"/>
        <v>129</v>
      </c>
      <c r="CI58" s="66">
        <f t="shared" si="201"/>
        <v>137</v>
      </c>
      <c r="CJ58" s="56">
        <f t="shared" si="202"/>
        <v>128</v>
      </c>
      <c r="CK58" s="66">
        <f t="shared" si="203"/>
        <v>138</v>
      </c>
      <c r="CL58" s="84">
        <f t="shared" si="67"/>
        <v>137.525</v>
      </c>
      <c r="CM58" s="84">
        <f t="shared" si="68"/>
        <v>133.75</v>
      </c>
      <c r="CN58" s="84">
        <f t="shared" si="69"/>
        <v>128.975</v>
      </c>
      <c r="CO58" s="3">
        <f t="shared" si="70"/>
        <v>-3.9592196956815386</v>
      </c>
      <c r="CP58" s="3">
        <f t="shared" si="71"/>
        <v>-0.1735186807209167</v>
      </c>
      <c r="CQ58" s="3">
        <f t="shared" si="72"/>
        <v>13.163212940757605</v>
      </c>
      <c r="CR58">
        <f t="shared" si="73"/>
        <v>0.0013856215459967477</v>
      </c>
      <c r="CS58" s="3">
        <f t="shared" si="74"/>
        <v>13.162876602201834</v>
      </c>
    </row>
    <row r="59" spans="1:97" ht="12.75">
      <c r="A59" s="83">
        <v>37944</v>
      </c>
      <c r="B59" s="53">
        <v>132</v>
      </c>
      <c r="C59" s="53">
        <v>132.5</v>
      </c>
      <c r="D59" s="52">
        <v>130.5</v>
      </c>
      <c r="E59" s="52">
        <v>132</v>
      </c>
      <c r="F59" s="1">
        <v>1885926</v>
      </c>
      <c r="G59" s="4">
        <f t="shared" si="135"/>
        <v>0</v>
      </c>
      <c r="H59" s="4">
        <f t="shared" si="136"/>
        <v>0</v>
      </c>
      <c r="I59" s="4">
        <f t="shared" si="137"/>
        <v>527</v>
      </c>
      <c r="J59" s="9">
        <f t="shared" si="138"/>
        <v>135.25</v>
      </c>
      <c r="K59" s="9">
        <f t="shared" si="139"/>
        <v>132.75</v>
      </c>
      <c r="L59" s="6">
        <f t="shared" si="140"/>
        <v>136.5304182509506</v>
      </c>
      <c r="M59" s="6">
        <f t="shared" si="141"/>
        <v>126.53041825095056</v>
      </c>
      <c r="N59" s="13">
        <f t="shared" si="142"/>
        <v>139.4463016145244</v>
      </c>
      <c r="O59" s="13">
        <f t="shared" si="143"/>
        <v>133.5</v>
      </c>
      <c r="P59" s="13">
        <f t="shared" si="144"/>
        <v>127.44630161452442</v>
      </c>
      <c r="Q59" s="1">
        <f t="shared" si="145"/>
        <v>2</v>
      </c>
      <c r="R59" s="1">
        <f t="shared" si="146"/>
        <v>1.5</v>
      </c>
      <c r="S59" s="1">
        <f t="shared" si="147"/>
        <v>3.5</v>
      </c>
      <c r="T59" s="6">
        <f t="shared" si="148"/>
        <v>2</v>
      </c>
      <c r="U59" s="6">
        <f t="shared" si="149"/>
        <v>3.5</v>
      </c>
      <c r="V59" s="3">
        <f t="shared" si="150"/>
        <v>0</v>
      </c>
      <c r="W59" s="3">
        <f t="shared" si="151"/>
        <v>2.5</v>
      </c>
      <c r="X59" s="3">
        <f t="shared" si="152"/>
        <v>0</v>
      </c>
      <c r="Y59" s="3">
        <f t="shared" si="153"/>
        <v>2.5</v>
      </c>
      <c r="Z59" s="3">
        <f t="shared" si="154"/>
        <v>0</v>
      </c>
      <c r="AA59" s="3">
        <f t="shared" si="155"/>
        <v>2.5</v>
      </c>
      <c r="AB59" s="30">
        <f t="shared" si="156"/>
        <v>41.5</v>
      </c>
      <c r="AC59" s="6">
        <f t="shared" si="157"/>
        <v>13</v>
      </c>
      <c r="AD59" s="6">
        <f t="shared" si="158"/>
        <v>12</v>
      </c>
      <c r="AE59" s="16">
        <f t="shared" si="159"/>
        <v>31</v>
      </c>
      <c r="AF59" s="16">
        <f t="shared" si="160"/>
        <v>28</v>
      </c>
      <c r="AG59" s="1">
        <f t="shared" si="161"/>
        <v>3</v>
      </c>
      <c r="AH59" s="1">
        <f t="shared" si="162"/>
        <v>59</v>
      </c>
      <c r="AI59" s="16">
        <f t="shared" si="163"/>
        <v>5</v>
      </c>
      <c r="AJ59" s="16">
        <f t="shared" si="164"/>
        <v>19.785714285714285</v>
      </c>
      <c r="AK59" s="16">
        <f t="shared" si="165"/>
        <v>24</v>
      </c>
      <c r="AL59" s="16">
        <f t="shared" si="166"/>
        <v>996</v>
      </c>
      <c r="AM59" s="59">
        <f t="shared" si="167"/>
        <v>9</v>
      </c>
      <c r="AO59" s="58">
        <f>MAX($E$26:E58)-AM58</f>
        <v>130</v>
      </c>
      <c r="AQ59" s="1">
        <f t="shared" si="168"/>
        <v>131.7</v>
      </c>
      <c r="AR59" s="38">
        <f t="shared" si="169"/>
        <v>132.9</v>
      </c>
      <c r="AS59" s="39">
        <f t="shared" si="170"/>
        <v>135.4</v>
      </c>
      <c r="AT59" s="38">
        <f t="shared" si="171"/>
        <v>137.9</v>
      </c>
      <c r="AU59" s="39">
        <f t="shared" si="172"/>
        <v>130.4</v>
      </c>
      <c r="AV59" s="1">
        <f t="shared" si="173"/>
        <v>0</v>
      </c>
      <c r="AW59" s="1">
        <f t="shared" si="174"/>
        <v>0</v>
      </c>
      <c r="AX59" s="1">
        <f t="shared" si="175"/>
        <v>132</v>
      </c>
      <c r="AY59" s="1">
        <f t="shared" si="176"/>
        <v>135.5</v>
      </c>
      <c r="AZ59" s="76"/>
      <c r="BB59" s="41">
        <f>IF(BB58-BF58&lt;MAX(C58,C57),MAX(C58,C57),BB58-BF58)</f>
        <v>139.86</v>
      </c>
      <c r="BC59" s="3">
        <f>MIN($D$58:D59)</f>
        <v>130.5</v>
      </c>
      <c r="BD59" s="3">
        <f>BB59-BC59</f>
        <v>9.360000000000014</v>
      </c>
      <c r="BE59" s="3">
        <f>MIN(IF(MIN($D$58:D59)&lt;MIN($D58:D$58),BE58+0.02,BE58),0.2)</f>
        <v>0.04</v>
      </c>
      <c r="BF59" s="3">
        <f t="shared" si="134"/>
        <v>0.37440000000000057</v>
      </c>
      <c r="BJ59" s="5">
        <f t="shared" si="177"/>
        <v>0</v>
      </c>
      <c r="BK59" s="5">
        <f t="shared" si="178"/>
        <v>2</v>
      </c>
      <c r="BL59" s="3">
        <f t="shared" si="179"/>
        <v>0.8928571428571429</v>
      </c>
      <c r="BM59" s="3">
        <f t="shared" si="180"/>
        <v>0.8928571428571429</v>
      </c>
      <c r="BN59" s="30">
        <f t="shared" si="181"/>
        <v>50</v>
      </c>
      <c r="BO59" s="21">
        <f t="shared" si="182"/>
        <v>138.5990195135928</v>
      </c>
      <c r="BP59" s="21">
        <f t="shared" si="183"/>
        <v>133.5</v>
      </c>
      <c r="BQ59" s="21">
        <f t="shared" si="184"/>
        <v>128.4009804864072</v>
      </c>
      <c r="BR59" s="19"/>
      <c r="BS59" s="21">
        <f t="shared" si="185"/>
        <v>0.07638980544708304</v>
      </c>
      <c r="BT59" s="21">
        <f t="shared" si="186"/>
        <v>0.3529128986463622</v>
      </c>
      <c r="BU59" s="6">
        <f t="shared" si="187"/>
        <v>942963</v>
      </c>
      <c r="BV59" s="6">
        <f t="shared" si="188"/>
        <v>0</v>
      </c>
      <c r="BW59" s="6">
        <f t="shared" si="189"/>
        <v>-1.8859239279878237</v>
      </c>
      <c r="BX59" s="25">
        <f t="shared" si="190"/>
        <v>106150.64149659865</v>
      </c>
      <c r="BY59" s="25">
        <f t="shared" si="191"/>
        <v>134110.27363945573</v>
      </c>
      <c r="BZ59" s="26">
        <f t="shared" si="192"/>
        <v>0.20504905627745465</v>
      </c>
      <c r="CA59" s="33">
        <f t="shared" si="193"/>
        <v>1.0079494128274618</v>
      </c>
      <c r="CB59" s="27">
        <f t="shared" si="194"/>
        <v>1.0064981301058002</v>
      </c>
      <c r="CC59" s="66">
        <f t="shared" si="195"/>
        <v>134.16666666666666</v>
      </c>
      <c r="CD59" s="56">
        <f t="shared" si="196"/>
        <v>132.83333333333331</v>
      </c>
      <c r="CE59" s="66">
        <f t="shared" si="197"/>
        <v>135.33333333333331</v>
      </c>
      <c r="CF59" s="56">
        <f t="shared" si="198"/>
        <v>131.66666666666669</v>
      </c>
      <c r="CG59" s="66">
        <f t="shared" si="199"/>
        <v>136.66666666666666</v>
      </c>
      <c r="CH59" s="56">
        <f t="shared" si="200"/>
        <v>130.33333333333334</v>
      </c>
      <c r="CI59" s="66">
        <f t="shared" si="201"/>
        <v>138</v>
      </c>
      <c r="CJ59" s="56">
        <f t="shared" si="202"/>
        <v>129.16666666666669</v>
      </c>
      <c r="CK59" s="66">
        <f t="shared" si="203"/>
        <v>139.16666666666663</v>
      </c>
      <c r="CL59" s="84">
        <f t="shared" si="67"/>
        <v>137.525</v>
      </c>
      <c r="CM59" s="84">
        <f t="shared" si="68"/>
        <v>133.75</v>
      </c>
      <c r="CN59" s="84">
        <f t="shared" si="69"/>
        <v>128.975</v>
      </c>
      <c r="CO59" s="3">
        <f t="shared" si="70"/>
        <v>-3.717267084348533</v>
      </c>
      <c r="CP59" s="3">
        <f t="shared" si="71"/>
        <v>-0.1788971352474574</v>
      </c>
      <c r="CQ59" s="3">
        <f t="shared" si="72"/>
        <v>11.62174276365003</v>
      </c>
      <c r="CR59">
        <f t="shared" si="73"/>
        <v>0.0029948193040172646</v>
      </c>
      <c r="CS59" s="3">
        <f t="shared" si="74"/>
        <v>11.621583888610232</v>
      </c>
    </row>
    <row r="60" spans="1:97" ht="12.75">
      <c r="A60" s="83">
        <v>37945</v>
      </c>
      <c r="B60" s="52">
        <v>132.5</v>
      </c>
      <c r="C60" s="52">
        <v>134</v>
      </c>
      <c r="D60" s="52">
        <v>129.5</v>
      </c>
      <c r="E60" s="52">
        <v>133</v>
      </c>
      <c r="F60" s="1">
        <v>4465684</v>
      </c>
      <c r="G60" s="4">
        <f t="shared" si="135"/>
        <v>530.5</v>
      </c>
      <c r="H60" s="4">
        <f t="shared" si="136"/>
        <v>0</v>
      </c>
      <c r="I60" s="4">
        <f t="shared" si="137"/>
        <v>0</v>
      </c>
      <c r="J60" s="9">
        <f t="shared" si="138"/>
        <v>133</v>
      </c>
      <c r="K60" s="9">
        <f t="shared" si="139"/>
        <v>131</v>
      </c>
      <c r="L60" s="6">
        <f t="shared" si="140"/>
        <v>143.15370018975332</v>
      </c>
      <c r="M60" s="6">
        <f t="shared" si="141"/>
        <v>120.65370018975331</v>
      </c>
      <c r="N60" s="13">
        <f t="shared" si="142"/>
        <v>139.80048467848678</v>
      </c>
      <c r="O60" s="13">
        <f t="shared" si="143"/>
        <v>133.725</v>
      </c>
      <c r="P60" s="13">
        <f t="shared" si="144"/>
        <v>127.42548467848678</v>
      </c>
      <c r="Q60" s="1">
        <f t="shared" si="145"/>
        <v>4.5</v>
      </c>
      <c r="R60" s="1">
        <f t="shared" si="146"/>
        <v>2</v>
      </c>
      <c r="S60" s="1">
        <f t="shared" si="147"/>
        <v>2.5</v>
      </c>
      <c r="T60" s="6">
        <f t="shared" si="148"/>
        <v>4.5</v>
      </c>
      <c r="U60" s="6">
        <f t="shared" si="149"/>
        <v>4.5</v>
      </c>
      <c r="V60" s="3">
        <f t="shared" si="150"/>
        <v>1.5</v>
      </c>
      <c r="W60" s="3">
        <f t="shared" si="151"/>
        <v>1</v>
      </c>
      <c r="X60" s="3">
        <f t="shared" si="152"/>
        <v>1.5</v>
      </c>
      <c r="Y60" s="3">
        <f t="shared" si="153"/>
        <v>1</v>
      </c>
      <c r="Z60" s="3">
        <f t="shared" si="154"/>
        <v>1.5</v>
      </c>
      <c r="AA60" s="3">
        <f t="shared" si="155"/>
        <v>0</v>
      </c>
      <c r="AB60" s="30">
        <f t="shared" si="156"/>
        <v>43.5</v>
      </c>
      <c r="AC60" s="6">
        <f t="shared" si="157"/>
        <v>14.5</v>
      </c>
      <c r="AD60" s="6">
        <f t="shared" si="158"/>
        <v>12</v>
      </c>
      <c r="AE60" s="16">
        <f t="shared" si="159"/>
        <v>33</v>
      </c>
      <c r="AF60" s="16">
        <f t="shared" si="160"/>
        <v>27</v>
      </c>
      <c r="AG60" s="1">
        <f t="shared" si="161"/>
        <v>6</v>
      </c>
      <c r="AH60" s="1">
        <f t="shared" si="162"/>
        <v>60</v>
      </c>
      <c r="AI60" s="16">
        <f t="shared" si="163"/>
        <v>10</v>
      </c>
      <c r="AJ60" s="16">
        <f t="shared" si="164"/>
        <v>17.285714285714285</v>
      </c>
      <c r="AK60" s="16">
        <f t="shared" si="165"/>
        <v>23</v>
      </c>
      <c r="AL60" s="16">
        <f t="shared" si="166"/>
        <v>1000.5</v>
      </c>
      <c r="AM60" s="59">
        <f t="shared" si="167"/>
        <v>9</v>
      </c>
      <c r="AO60" s="58">
        <f>MAX($E$26:E59)-AM59</f>
        <v>129</v>
      </c>
      <c r="AQ60" s="1">
        <f t="shared" si="168"/>
        <v>132.2</v>
      </c>
      <c r="AR60" s="38">
        <f t="shared" si="169"/>
        <v>130.9</v>
      </c>
      <c r="AS60" s="39">
        <f t="shared" si="170"/>
        <v>132.9</v>
      </c>
      <c r="AT60" s="38">
        <f t="shared" si="171"/>
        <v>134.9</v>
      </c>
      <c r="AU60" s="39">
        <f t="shared" si="172"/>
        <v>128.9</v>
      </c>
      <c r="AV60" s="1">
        <f t="shared" si="173"/>
        <v>0</v>
      </c>
      <c r="AW60" s="1">
        <f t="shared" si="174"/>
        <v>0</v>
      </c>
      <c r="AX60" s="1">
        <f t="shared" si="175"/>
        <v>130.5</v>
      </c>
      <c r="AY60" s="1">
        <f t="shared" si="176"/>
        <v>135.5</v>
      </c>
      <c r="AZ60" s="78" t="s">
        <v>213</v>
      </c>
      <c r="BB60" s="41">
        <f>IF(BB59-BF59&lt;MAX(C59,C58),MAX(C59,C58),BB59-BF59)</f>
        <v>139.4856</v>
      </c>
      <c r="BC60" s="3">
        <f>MIN($D$58:D60)</f>
        <v>129.5</v>
      </c>
      <c r="BD60" s="3">
        <f>BB60-BC60</f>
        <v>9.985600000000005</v>
      </c>
      <c r="BE60" s="3">
        <f>MIN(IF(MIN($D$58:D60)&lt;MIN($D$58:D59),BE59+0.02,BE59),0.2)</f>
        <v>0.06</v>
      </c>
      <c r="BF60" s="3">
        <f t="shared" si="134"/>
        <v>0.5991360000000003</v>
      </c>
      <c r="BJ60" s="5">
        <f t="shared" si="177"/>
        <v>1</v>
      </c>
      <c r="BK60" s="5">
        <f t="shared" si="178"/>
        <v>0</v>
      </c>
      <c r="BL60" s="3">
        <f t="shared" si="179"/>
        <v>0.9285714285714286</v>
      </c>
      <c r="BM60" s="3">
        <f t="shared" si="180"/>
        <v>0.8928571428571429</v>
      </c>
      <c r="BN60" s="30">
        <f t="shared" si="181"/>
        <v>50.98039215686275</v>
      </c>
      <c r="BO60" s="21">
        <f t="shared" si="182"/>
        <v>138.29090626272594</v>
      </c>
      <c r="BP60" s="21">
        <f t="shared" si="183"/>
        <v>133.725</v>
      </c>
      <c r="BQ60" s="21">
        <f t="shared" si="184"/>
        <v>129.15909373727405</v>
      </c>
      <c r="BR60" s="19"/>
      <c r="BS60" s="21">
        <f t="shared" si="185"/>
        <v>0.06828799794692011</v>
      </c>
      <c r="BT60" s="21">
        <f t="shared" si="186"/>
        <v>0.42060721812024743</v>
      </c>
      <c r="BU60" s="6">
        <f t="shared" si="187"/>
        <v>2480935.5555555555</v>
      </c>
      <c r="BV60" s="6">
        <f t="shared" si="188"/>
        <v>496187.11111111107</v>
      </c>
      <c r="BW60" s="6">
        <f t="shared" si="189"/>
        <v>4.465682114076072</v>
      </c>
      <c r="BX60" s="25">
        <f t="shared" si="190"/>
        <v>192335.56689342405</v>
      </c>
      <c r="BY60" s="25">
        <f t="shared" si="191"/>
        <v>78527.45300453514</v>
      </c>
      <c r="BZ60" s="26">
        <f t="shared" si="192"/>
        <v>0.3723182764776278</v>
      </c>
      <c r="CA60" s="33">
        <f t="shared" si="193"/>
        <v>1.0037735849056604</v>
      </c>
      <c r="CB60" s="27">
        <f t="shared" si="194"/>
        <v>1.4544326372992242</v>
      </c>
      <c r="CC60" s="66">
        <f t="shared" si="195"/>
        <v>131.66666666666666</v>
      </c>
      <c r="CD60" s="56">
        <f t="shared" si="196"/>
        <v>130.83333333333331</v>
      </c>
      <c r="CE60" s="66">
        <f t="shared" si="197"/>
        <v>132.83333333333331</v>
      </c>
      <c r="CF60" s="56">
        <f t="shared" si="198"/>
        <v>129.66666666666669</v>
      </c>
      <c r="CG60" s="66">
        <f t="shared" si="199"/>
        <v>133.66666666666666</v>
      </c>
      <c r="CH60" s="56">
        <f t="shared" si="200"/>
        <v>128.83333333333334</v>
      </c>
      <c r="CI60" s="66">
        <f t="shared" si="201"/>
        <v>134.5</v>
      </c>
      <c r="CJ60" s="56">
        <f t="shared" si="202"/>
        <v>127.66666666666669</v>
      </c>
      <c r="CK60" s="66">
        <f t="shared" si="203"/>
        <v>135.66666666666663</v>
      </c>
      <c r="CL60" s="84">
        <f t="shared" si="67"/>
        <v>137.525</v>
      </c>
      <c r="CM60" s="84">
        <f t="shared" si="68"/>
        <v>133.75</v>
      </c>
      <c r="CN60" s="84">
        <f t="shared" si="69"/>
        <v>129.7375</v>
      </c>
      <c r="CO60" s="3">
        <f t="shared" si="70"/>
        <v>-3.725033322014885</v>
      </c>
      <c r="CP60" s="3">
        <f t="shared" si="71"/>
        <v>-0.0021076405038558555</v>
      </c>
      <c r="CQ60" s="3">
        <f t="shared" si="72"/>
        <v>11.56324251559602</v>
      </c>
      <c r="CR60">
        <f t="shared" si="73"/>
        <v>0.0030837118615396016</v>
      </c>
      <c r="CS60" s="3">
        <f t="shared" si="74"/>
        <v>11.563077700316171</v>
      </c>
    </row>
    <row r="61" spans="1:97" ht="12.75">
      <c r="A61" s="83">
        <v>37946</v>
      </c>
      <c r="B61" s="52">
        <v>133</v>
      </c>
      <c r="C61" s="52">
        <v>134.5</v>
      </c>
      <c r="D61" s="52">
        <v>132</v>
      </c>
      <c r="E61" s="52">
        <v>133.5</v>
      </c>
      <c r="F61" s="1">
        <v>1799062</v>
      </c>
      <c r="G61" s="4">
        <f t="shared" si="135"/>
        <v>534.5</v>
      </c>
      <c r="H61" s="4">
        <f t="shared" si="136"/>
        <v>0</v>
      </c>
      <c r="I61" s="4">
        <f t="shared" si="137"/>
        <v>0</v>
      </c>
      <c r="J61" s="9">
        <f t="shared" si="138"/>
        <v>135.75</v>
      </c>
      <c r="K61" s="9">
        <f t="shared" si="139"/>
        <v>131.25</v>
      </c>
      <c r="L61" s="6">
        <f t="shared" si="140"/>
        <v>139.546904315197</v>
      </c>
      <c r="M61" s="6">
        <f t="shared" si="141"/>
        <v>127.046904315197</v>
      </c>
      <c r="N61" s="13">
        <f t="shared" si="142"/>
        <v>140.05128549270225</v>
      </c>
      <c r="O61" s="13">
        <f t="shared" si="143"/>
        <v>133.925</v>
      </c>
      <c r="P61" s="13">
        <f t="shared" si="144"/>
        <v>127.5512854927022</v>
      </c>
      <c r="Q61" s="1">
        <f t="shared" si="145"/>
        <v>2.5</v>
      </c>
      <c r="R61" s="1">
        <f t="shared" si="146"/>
        <v>1.5</v>
      </c>
      <c r="S61" s="1">
        <f t="shared" si="147"/>
        <v>1</v>
      </c>
      <c r="T61" s="6">
        <f t="shared" si="148"/>
        <v>2.5</v>
      </c>
      <c r="U61" s="6">
        <f t="shared" si="149"/>
        <v>2.5</v>
      </c>
      <c r="V61" s="3">
        <f t="shared" si="150"/>
        <v>0.5</v>
      </c>
      <c r="W61" s="3">
        <f t="shared" si="151"/>
        <v>0</v>
      </c>
      <c r="X61" s="3">
        <f t="shared" si="152"/>
        <v>0.5</v>
      </c>
      <c r="Y61" s="3">
        <f t="shared" si="153"/>
        <v>0</v>
      </c>
      <c r="Z61" s="3">
        <f t="shared" si="154"/>
        <v>0.5</v>
      </c>
      <c r="AA61" s="3">
        <f t="shared" si="155"/>
        <v>0</v>
      </c>
      <c r="AB61" s="30">
        <f t="shared" si="156"/>
        <v>42</v>
      </c>
      <c r="AC61" s="6">
        <f t="shared" si="157"/>
        <v>11.5</v>
      </c>
      <c r="AD61" s="6">
        <f t="shared" si="158"/>
        <v>12</v>
      </c>
      <c r="AE61" s="16">
        <f t="shared" si="159"/>
        <v>27</v>
      </c>
      <c r="AF61" s="16">
        <f t="shared" si="160"/>
        <v>28</v>
      </c>
      <c r="AG61" s="1">
        <f t="shared" si="161"/>
        <v>1</v>
      </c>
      <c r="AH61" s="1">
        <f t="shared" si="162"/>
        <v>55</v>
      </c>
      <c r="AI61" s="16">
        <f t="shared" si="163"/>
        <v>2</v>
      </c>
      <c r="AJ61" s="16">
        <f t="shared" si="164"/>
        <v>16.428571428571427</v>
      </c>
      <c r="AK61" s="16">
        <f t="shared" si="165"/>
        <v>21</v>
      </c>
      <c r="AL61" s="16">
        <f t="shared" si="166"/>
        <v>882</v>
      </c>
      <c r="AM61" s="59">
        <f t="shared" si="167"/>
        <v>10</v>
      </c>
      <c r="AO61" s="58">
        <f>MAX($E$26:E60)-AM60</f>
        <v>129</v>
      </c>
      <c r="AQ61" s="1">
        <f t="shared" si="168"/>
        <v>133.3</v>
      </c>
      <c r="AR61" s="38">
        <f t="shared" si="169"/>
        <v>130.4</v>
      </c>
      <c r="AS61" s="39">
        <f t="shared" si="170"/>
        <v>134.9</v>
      </c>
      <c r="AT61" s="38">
        <f t="shared" si="171"/>
        <v>139.4</v>
      </c>
      <c r="AU61" s="39">
        <f t="shared" si="172"/>
        <v>125.9</v>
      </c>
      <c r="AV61" s="1">
        <f t="shared" si="173"/>
        <v>0</v>
      </c>
      <c r="AW61" s="69">
        <f t="shared" si="174"/>
        <v>0</v>
      </c>
      <c r="AX61" s="1">
        <f t="shared" si="175"/>
        <v>129.5</v>
      </c>
      <c r="AY61" s="1">
        <f t="shared" si="176"/>
        <v>134</v>
      </c>
      <c r="AZ61" s="73" t="s">
        <v>186</v>
      </c>
      <c r="BA61" s="68" t="s">
        <v>215</v>
      </c>
      <c r="BB61" s="41">
        <f>IF(BB60-BF60&lt;MAX(C60,C59),MAX(C60,C59),BB60-BF60)</f>
        <v>138.88646400000002</v>
      </c>
      <c r="BC61" s="3">
        <f>MIN($D$58:D61)</f>
        <v>129.5</v>
      </c>
      <c r="BD61" s="3">
        <f>BB61-BC61</f>
        <v>9.386464000000018</v>
      </c>
      <c r="BE61" s="3">
        <f>MIN(IF(MIN($D$58:D61)&lt;MIN($D$58:D60),BE60+0.02,BE60),0.2)</f>
        <v>0.06</v>
      </c>
      <c r="BF61" s="3">
        <f t="shared" si="134"/>
        <v>0.5631878400000011</v>
      </c>
      <c r="BJ61" s="5">
        <f t="shared" si="177"/>
        <v>0.5</v>
      </c>
      <c r="BK61" s="5">
        <f t="shared" si="178"/>
        <v>0</v>
      </c>
      <c r="BL61" s="3">
        <f t="shared" si="179"/>
        <v>0.75</v>
      </c>
      <c r="BM61" s="3">
        <f t="shared" si="180"/>
        <v>0.8928571428571429</v>
      </c>
      <c r="BN61" s="30">
        <f t="shared" si="181"/>
        <v>45.65217391304348</v>
      </c>
      <c r="BO61" s="21">
        <f t="shared" si="182"/>
        <v>138.06353838933506</v>
      </c>
      <c r="BP61" s="21">
        <f t="shared" si="183"/>
        <v>133.925</v>
      </c>
      <c r="BQ61" s="21">
        <f t="shared" si="184"/>
        <v>129.78646161066496</v>
      </c>
      <c r="BR61" s="19"/>
      <c r="BS61" s="21">
        <f t="shared" si="185"/>
        <v>0.06180382138264033</v>
      </c>
      <c r="BT61" s="21">
        <f t="shared" si="186"/>
        <v>0.44865336985936516</v>
      </c>
      <c r="BU61" s="6">
        <f t="shared" si="187"/>
        <v>359812.4</v>
      </c>
      <c r="BV61" s="6">
        <f t="shared" si="188"/>
        <v>359812.4</v>
      </c>
      <c r="BW61" s="6">
        <f t="shared" si="189"/>
        <v>1.799066465682114</v>
      </c>
      <c r="BX61" s="25">
        <f t="shared" si="190"/>
        <v>157253.21451247166</v>
      </c>
      <c r="BY61" s="25">
        <f t="shared" si="191"/>
        <v>13053.481575963715</v>
      </c>
      <c r="BZ61" s="26">
        <f t="shared" si="192"/>
        <v>0.31847315803256215</v>
      </c>
      <c r="CA61" s="33">
        <f t="shared" si="193"/>
        <v>0.9987468671679198</v>
      </c>
      <c r="CB61" s="27">
        <f t="shared" si="194"/>
        <v>1.438489027792695</v>
      </c>
      <c r="CC61" s="66">
        <f t="shared" si="195"/>
        <v>132.16666666666666</v>
      </c>
      <c r="CD61" s="56">
        <f t="shared" si="196"/>
        <v>130.33333333333331</v>
      </c>
      <c r="CE61" s="66">
        <f t="shared" si="197"/>
        <v>134.83333333333331</v>
      </c>
      <c r="CF61" s="56">
        <f t="shared" si="198"/>
        <v>127.66666666666669</v>
      </c>
      <c r="CG61" s="66">
        <f t="shared" si="199"/>
        <v>136.66666666666666</v>
      </c>
      <c r="CH61" s="56">
        <f t="shared" si="200"/>
        <v>125.83333333333334</v>
      </c>
      <c r="CI61" s="66">
        <f t="shared" si="201"/>
        <v>138.5</v>
      </c>
      <c r="CJ61" s="56">
        <f t="shared" si="202"/>
        <v>123.16666666666669</v>
      </c>
      <c r="CK61" s="66">
        <f t="shared" si="203"/>
        <v>141.16666666666663</v>
      </c>
      <c r="CL61" s="84">
        <f t="shared" si="67"/>
        <v>137.525</v>
      </c>
      <c r="CM61" s="84">
        <f t="shared" si="68"/>
        <v>133.75</v>
      </c>
      <c r="CN61" s="84">
        <f t="shared" si="69"/>
        <v>130.475</v>
      </c>
      <c r="CO61" s="3">
        <f t="shared" si="70"/>
        <v>-3.6426698650106846</v>
      </c>
      <c r="CP61" s="3">
        <f t="shared" si="71"/>
        <v>0.14301743195135574</v>
      </c>
      <c r="CQ61" s="3">
        <f t="shared" si="72"/>
        <v>11.125716407354002</v>
      </c>
      <c r="CR61">
        <f t="shared" si="73"/>
        <v>0.0038377915169107235</v>
      </c>
      <c r="CS61" s="3">
        <f t="shared" si="74"/>
        <v>11.125598940422975</v>
      </c>
    </row>
    <row r="62" spans="1:97" ht="12.75">
      <c r="A62" s="83">
        <v>37949</v>
      </c>
      <c r="B62" s="53">
        <v>134</v>
      </c>
      <c r="C62" s="52">
        <v>138.5</v>
      </c>
      <c r="D62" s="53">
        <v>134</v>
      </c>
      <c r="E62" s="52">
        <v>138</v>
      </c>
      <c r="F62" s="1">
        <v>3159219</v>
      </c>
      <c r="G62" s="4">
        <f t="shared" si="135"/>
        <v>549</v>
      </c>
      <c r="H62" s="4">
        <f t="shared" si="136"/>
        <v>0</v>
      </c>
      <c r="I62" s="4">
        <f t="shared" si="137"/>
        <v>0</v>
      </c>
      <c r="J62" s="9">
        <f t="shared" si="138"/>
        <v>135.25</v>
      </c>
      <c r="K62" s="9">
        <f t="shared" si="139"/>
        <v>132.75</v>
      </c>
      <c r="L62" s="6">
        <f t="shared" si="140"/>
        <v>147.648623853211</v>
      </c>
      <c r="M62" s="6">
        <f t="shared" si="141"/>
        <v>125.148623853211</v>
      </c>
      <c r="N62" s="13">
        <f t="shared" si="142"/>
        <v>140.70717228381838</v>
      </c>
      <c r="O62" s="13">
        <f t="shared" si="143"/>
        <v>134.325</v>
      </c>
      <c r="P62" s="13">
        <f t="shared" si="144"/>
        <v>127.58217228381838</v>
      </c>
      <c r="Q62" s="1">
        <f t="shared" si="145"/>
        <v>4.5</v>
      </c>
      <c r="R62" s="1">
        <f t="shared" si="146"/>
        <v>5</v>
      </c>
      <c r="S62" s="1">
        <f t="shared" si="147"/>
        <v>0.5</v>
      </c>
      <c r="T62" s="6">
        <f t="shared" si="148"/>
        <v>5</v>
      </c>
      <c r="U62" s="6">
        <f t="shared" si="149"/>
        <v>5</v>
      </c>
      <c r="V62" s="3">
        <f t="shared" si="150"/>
        <v>4</v>
      </c>
      <c r="W62" s="3">
        <f t="shared" si="151"/>
        <v>0</v>
      </c>
      <c r="X62" s="3">
        <f t="shared" si="152"/>
        <v>4</v>
      </c>
      <c r="Y62" s="3">
        <f t="shared" si="153"/>
        <v>0</v>
      </c>
      <c r="Z62" s="3">
        <f t="shared" si="154"/>
        <v>4</v>
      </c>
      <c r="AA62" s="3">
        <f t="shared" si="155"/>
        <v>0</v>
      </c>
      <c r="AB62" s="30">
        <f t="shared" si="156"/>
        <v>45</v>
      </c>
      <c r="AC62" s="6">
        <f t="shared" si="157"/>
        <v>15.5</v>
      </c>
      <c r="AD62" s="6">
        <f t="shared" si="158"/>
        <v>12</v>
      </c>
      <c r="AE62" s="16">
        <f t="shared" si="159"/>
        <v>34</v>
      </c>
      <c r="AF62" s="16">
        <f t="shared" si="160"/>
        <v>26</v>
      </c>
      <c r="AG62" s="1">
        <f t="shared" si="161"/>
        <v>8</v>
      </c>
      <c r="AH62" s="1">
        <f t="shared" si="162"/>
        <v>60</v>
      </c>
      <c r="AI62" s="16">
        <f t="shared" si="163"/>
        <v>13</v>
      </c>
      <c r="AJ62" s="16">
        <f t="shared" si="164"/>
        <v>16.357142857142858</v>
      </c>
      <c r="AK62" s="16">
        <f t="shared" si="165"/>
        <v>20</v>
      </c>
      <c r="AL62" s="16">
        <f t="shared" si="166"/>
        <v>900</v>
      </c>
      <c r="AM62" s="59">
        <f t="shared" si="167"/>
        <v>11</v>
      </c>
      <c r="AO62" s="58">
        <f>MAX($E$26:E61)-AM61</f>
        <v>128</v>
      </c>
      <c r="AQ62" s="1">
        <f t="shared" si="168"/>
        <v>136.8</v>
      </c>
      <c r="AR62" s="38">
        <f t="shared" si="169"/>
        <v>132.1</v>
      </c>
      <c r="AS62" s="39">
        <f t="shared" si="170"/>
        <v>134.6</v>
      </c>
      <c r="AT62" s="38">
        <f t="shared" si="171"/>
        <v>137.1</v>
      </c>
      <c r="AU62" s="39">
        <f t="shared" si="172"/>
        <v>129.6</v>
      </c>
      <c r="AV62" s="70">
        <f t="shared" si="173"/>
        <v>1</v>
      </c>
      <c r="AW62" s="1">
        <f t="shared" si="174"/>
        <v>0</v>
      </c>
      <c r="AX62" s="1">
        <f t="shared" si="175"/>
        <v>129.5</v>
      </c>
      <c r="AY62" s="1">
        <f t="shared" si="176"/>
        <v>134.5</v>
      </c>
      <c r="AZ62" s="77" t="s">
        <v>218</v>
      </c>
      <c r="BA62" s="68" t="s">
        <v>217</v>
      </c>
      <c r="BB62" s="41">
        <f>IF(BB61-BF61&lt;MAX(C61,C60),MAX(C61,C60),BB61-BF61)</f>
        <v>138.32327616</v>
      </c>
      <c r="BC62" s="3">
        <f>MIN($D$58:D62)</f>
        <v>129.5</v>
      </c>
      <c r="BD62" s="3">
        <f>BB62-BC62</f>
        <v>8.823276160000006</v>
      </c>
      <c r="BE62" s="3">
        <f>MIN(IF(MIN($D$58:D62)&lt;MIN($D$58:D61),BE61+0.02,BE61),0.2)</f>
        <v>0.06</v>
      </c>
      <c r="BF62" s="3">
        <f t="shared" si="134"/>
        <v>0.5293965696000004</v>
      </c>
      <c r="BH62" s="1">
        <v>138.5</v>
      </c>
      <c r="BI62" s="1">
        <v>-4.5</v>
      </c>
      <c r="BJ62" s="5">
        <f t="shared" si="177"/>
        <v>4.5</v>
      </c>
      <c r="BK62" s="5">
        <f t="shared" si="178"/>
        <v>0</v>
      </c>
      <c r="BL62" s="3">
        <f t="shared" si="179"/>
        <v>1.0714285714285714</v>
      </c>
      <c r="BM62" s="3">
        <f t="shared" si="180"/>
        <v>0.8214285714285714</v>
      </c>
      <c r="BN62" s="30">
        <f t="shared" si="181"/>
        <v>56.60377358490566</v>
      </c>
      <c r="BO62" s="21">
        <f t="shared" si="182"/>
        <v>138.414926649709</v>
      </c>
      <c r="BP62" s="21">
        <f t="shared" si="183"/>
        <v>134.325</v>
      </c>
      <c r="BQ62" s="21">
        <f t="shared" si="184"/>
        <v>130.23507335029097</v>
      </c>
      <c r="BR62" s="19"/>
      <c r="BS62" s="21">
        <f t="shared" si="185"/>
        <v>0.060895985850869375</v>
      </c>
      <c r="BT62" s="21">
        <f t="shared" si="186"/>
        <v>0.9492745609828329</v>
      </c>
      <c r="BU62" s="6">
        <f t="shared" si="187"/>
        <v>2457170.3333333335</v>
      </c>
      <c r="BV62" s="6">
        <f t="shared" si="188"/>
        <v>2808194.6666666665</v>
      </c>
      <c r="BW62" s="6">
        <f t="shared" si="189"/>
        <v>3.159220799066466</v>
      </c>
      <c r="BX62" s="25">
        <f t="shared" si="190"/>
        <v>385235.8097505669</v>
      </c>
      <c r="BY62" s="25">
        <f t="shared" si="191"/>
        <v>239874.02919501133</v>
      </c>
      <c r="BZ62" s="26">
        <f t="shared" si="192"/>
        <v>0.649072461330301</v>
      </c>
      <c r="CA62" s="33">
        <f t="shared" si="193"/>
        <v>1.008368945868946</v>
      </c>
      <c r="CB62" s="27">
        <f t="shared" si="194"/>
        <v>1.5701321474088414</v>
      </c>
      <c r="CC62" s="66">
        <f t="shared" si="195"/>
        <v>133.33333333333334</v>
      </c>
      <c r="CD62" s="56">
        <f t="shared" si="196"/>
        <v>132.16666666666669</v>
      </c>
      <c r="CE62" s="66">
        <f t="shared" si="197"/>
        <v>134.66666666666669</v>
      </c>
      <c r="CF62" s="56">
        <f t="shared" si="198"/>
        <v>130.83333333333331</v>
      </c>
      <c r="CG62" s="66">
        <f t="shared" si="199"/>
        <v>135.83333333333334</v>
      </c>
      <c r="CH62" s="56">
        <f t="shared" si="200"/>
        <v>129.66666666666666</v>
      </c>
      <c r="CI62" s="66">
        <f t="shared" si="201"/>
        <v>137</v>
      </c>
      <c r="CJ62" s="56">
        <f t="shared" si="202"/>
        <v>128.33333333333331</v>
      </c>
      <c r="CK62" s="66">
        <f t="shared" si="203"/>
        <v>138.33333333333337</v>
      </c>
      <c r="CL62" s="84">
        <f t="shared" si="67"/>
        <v>138</v>
      </c>
      <c r="CM62" s="84">
        <f t="shared" si="68"/>
        <v>134</v>
      </c>
      <c r="CN62" s="84">
        <f t="shared" si="69"/>
        <v>131.475</v>
      </c>
      <c r="CO62" s="3">
        <f t="shared" si="70"/>
        <v>-3.9581154836522665</v>
      </c>
      <c r="CP62" s="3">
        <f t="shared" si="71"/>
        <v>0.31590940261925654</v>
      </c>
      <c r="CQ62" s="3">
        <f t="shared" si="72"/>
        <v>13.388227653817365</v>
      </c>
      <c r="CR62">
        <f t="shared" si="73"/>
        <v>0.0012381786288675097</v>
      </c>
      <c r="CS62" s="3">
        <f t="shared" si="74"/>
        <v>13.388425747962174</v>
      </c>
    </row>
    <row r="63" spans="1:97" ht="12.75">
      <c r="A63" s="83">
        <v>37950</v>
      </c>
      <c r="B63" s="53">
        <v>136</v>
      </c>
      <c r="C63" s="52">
        <v>137.5</v>
      </c>
      <c r="D63" s="53">
        <v>135</v>
      </c>
      <c r="E63" s="52">
        <v>136</v>
      </c>
      <c r="F63" s="1">
        <v>2682620</v>
      </c>
      <c r="G63" s="4">
        <f t="shared" si="135"/>
        <v>0</v>
      </c>
      <c r="H63" s="4">
        <f t="shared" si="136"/>
        <v>0</v>
      </c>
      <c r="I63" s="4">
        <f t="shared" si="137"/>
        <v>544.5</v>
      </c>
      <c r="J63" s="9">
        <f t="shared" si="138"/>
        <v>140.5</v>
      </c>
      <c r="K63" s="9">
        <f t="shared" si="139"/>
        <v>136</v>
      </c>
      <c r="L63" s="6">
        <f t="shared" si="140"/>
        <v>142.545871559633</v>
      </c>
      <c r="M63" s="6">
        <f t="shared" si="141"/>
        <v>130.045871559633</v>
      </c>
      <c r="N63" s="13">
        <f t="shared" si="142"/>
        <v>141.10860544114993</v>
      </c>
      <c r="O63" s="13">
        <f t="shared" si="143"/>
        <v>134.575</v>
      </c>
      <c r="P63" s="13">
        <f t="shared" si="144"/>
        <v>127.73360544114989</v>
      </c>
      <c r="Q63" s="1">
        <f t="shared" si="145"/>
        <v>2.5</v>
      </c>
      <c r="R63" s="1">
        <f t="shared" si="146"/>
        <v>0.5</v>
      </c>
      <c r="S63" s="1">
        <f t="shared" si="147"/>
        <v>3</v>
      </c>
      <c r="T63" s="6">
        <f t="shared" si="148"/>
        <v>2.5</v>
      </c>
      <c r="U63" s="6">
        <f t="shared" si="149"/>
        <v>3</v>
      </c>
      <c r="V63" s="3">
        <f t="shared" si="150"/>
        <v>0</v>
      </c>
      <c r="W63" s="3">
        <f t="shared" si="151"/>
        <v>0</v>
      </c>
      <c r="X63" s="3">
        <f t="shared" si="152"/>
        <v>0</v>
      </c>
      <c r="Y63" s="3">
        <f t="shared" si="153"/>
        <v>0</v>
      </c>
      <c r="Z63" s="3">
        <f t="shared" si="154"/>
        <v>0</v>
      </c>
      <c r="AA63" s="3">
        <f t="shared" si="155"/>
        <v>0</v>
      </c>
      <c r="AB63" s="30">
        <f t="shared" si="156"/>
        <v>45.5</v>
      </c>
      <c r="AC63" s="6">
        <f t="shared" si="157"/>
        <v>15.5</v>
      </c>
      <c r="AD63" s="6">
        <f t="shared" si="158"/>
        <v>10.5</v>
      </c>
      <c r="AE63" s="16">
        <f t="shared" si="159"/>
        <v>34</v>
      </c>
      <c r="AF63" s="16">
        <f t="shared" si="160"/>
        <v>23</v>
      </c>
      <c r="AG63" s="1">
        <f t="shared" si="161"/>
        <v>11</v>
      </c>
      <c r="AH63" s="1">
        <f t="shared" si="162"/>
        <v>57</v>
      </c>
      <c r="AI63" s="16">
        <f t="shared" si="163"/>
        <v>19</v>
      </c>
      <c r="AJ63" s="16">
        <f t="shared" si="164"/>
        <v>17.142857142857142</v>
      </c>
      <c r="AK63" s="16">
        <f t="shared" si="165"/>
        <v>20</v>
      </c>
      <c r="AL63" s="16">
        <f t="shared" si="166"/>
        <v>910</v>
      </c>
      <c r="AM63" s="59">
        <f t="shared" si="167"/>
        <v>11</v>
      </c>
      <c r="AO63" s="58">
        <f>MAX($E$26:E62)-AM62</f>
        <v>127</v>
      </c>
      <c r="AQ63" s="1">
        <f t="shared" si="168"/>
        <v>136.2</v>
      </c>
      <c r="AR63" s="38">
        <f t="shared" si="169"/>
        <v>135.1</v>
      </c>
      <c r="AS63" s="39">
        <f t="shared" si="170"/>
        <v>139.6</v>
      </c>
      <c r="AT63" s="38">
        <f t="shared" si="171"/>
        <v>144.1</v>
      </c>
      <c r="AU63" s="39">
        <f t="shared" si="172"/>
        <v>130.6</v>
      </c>
      <c r="AV63" s="1">
        <f t="shared" si="173"/>
        <v>0</v>
      </c>
      <c r="AW63" s="1">
        <f t="shared" si="174"/>
        <v>0</v>
      </c>
      <c r="AX63" s="1">
        <f t="shared" si="175"/>
        <v>132</v>
      </c>
      <c r="AY63" s="1">
        <f t="shared" si="176"/>
        <v>138.5</v>
      </c>
      <c r="AZ63" s="73" t="s">
        <v>186</v>
      </c>
      <c r="BB63" s="36">
        <f>MIN($D$58:D62)</f>
        <v>129.5</v>
      </c>
      <c r="BC63" s="3">
        <f>C63</f>
        <v>137.5</v>
      </c>
      <c r="BD63" s="3">
        <f>BC63-BB63</f>
        <v>8</v>
      </c>
      <c r="BE63" s="8">
        <v>0.02</v>
      </c>
      <c r="BF63" s="3">
        <f t="shared" si="134"/>
        <v>0.16</v>
      </c>
      <c r="BG63" s="82">
        <v>136</v>
      </c>
      <c r="BJ63" s="5">
        <f t="shared" si="177"/>
        <v>0</v>
      </c>
      <c r="BK63" s="5">
        <f t="shared" si="178"/>
        <v>2</v>
      </c>
      <c r="BL63" s="3">
        <f t="shared" si="179"/>
        <v>1.0714285714285714</v>
      </c>
      <c r="BM63" s="3">
        <f t="shared" si="180"/>
        <v>0.8928571428571429</v>
      </c>
      <c r="BN63" s="30">
        <f t="shared" si="181"/>
        <v>54.54545454545455</v>
      </c>
      <c r="BO63" s="21">
        <f t="shared" si="182"/>
        <v>138.425649295898</v>
      </c>
      <c r="BP63" s="21">
        <f t="shared" si="183"/>
        <v>134.575</v>
      </c>
      <c r="BQ63" s="21">
        <f t="shared" si="184"/>
        <v>130.72435070410197</v>
      </c>
      <c r="BR63" s="19"/>
      <c r="BS63" s="21">
        <f t="shared" si="185"/>
        <v>0.05722681472633139</v>
      </c>
      <c r="BT63" s="21">
        <f t="shared" si="186"/>
        <v>0.6850337294437615</v>
      </c>
      <c r="BU63" s="6">
        <f t="shared" si="187"/>
        <v>-536524</v>
      </c>
      <c r="BV63" s="6">
        <f t="shared" si="188"/>
        <v>0</v>
      </c>
      <c r="BW63" s="6">
        <f t="shared" si="189"/>
        <v>-2.6826168407792013</v>
      </c>
      <c r="BX63" s="25">
        <f t="shared" si="190"/>
        <v>367995.76689342404</v>
      </c>
      <c r="BY63" s="25">
        <f t="shared" si="191"/>
        <v>282040.2291950113</v>
      </c>
      <c r="BZ63" s="26">
        <f t="shared" si="192"/>
        <v>0.56287257764389</v>
      </c>
      <c r="CA63" s="33">
        <f t="shared" si="193"/>
        <v>1.009377211606511</v>
      </c>
      <c r="CB63" s="27">
        <f t="shared" si="194"/>
        <v>1.165194866645252</v>
      </c>
      <c r="CC63" s="66">
        <f t="shared" si="195"/>
        <v>136.83333333333334</v>
      </c>
      <c r="CD63" s="56">
        <f t="shared" si="196"/>
        <v>135.16666666666669</v>
      </c>
      <c r="CE63" s="66">
        <f t="shared" si="197"/>
        <v>139.66666666666669</v>
      </c>
      <c r="CF63" s="56">
        <f t="shared" si="198"/>
        <v>132.33333333333331</v>
      </c>
      <c r="CG63" s="66">
        <f t="shared" si="199"/>
        <v>141.33333333333334</v>
      </c>
      <c r="CH63" s="56">
        <f t="shared" si="200"/>
        <v>130.66666666666666</v>
      </c>
      <c r="CI63" s="66">
        <f t="shared" si="201"/>
        <v>143</v>
      </c>
      <c r="CJ63" s="56">
        <f t="shared" si="202"/>
        <v>127.83333333333331</v>
      </c>
      <c r="CK63" s="66">
        <f t="shared" si="203"/>
        <v>145.83333333333337</v>
      </c>
      <c r="CL63" s="84">
        <f t="shared" si="67"/>
        <v>138</v>
      </c>
      <c r="CM63" s="84">
        <f t="shared" si="68"/>
        <v>134.25</v>
      </c>
      <c r="CN63" s="84">
        <f t="shared" si="69"/>
        <v>132</v>
      </c>
      <c r="CO63" s="3">
        <f t="shared" si="70"/>
        <v>-4.097235857770174</v>
      </c>
      <c r="CP63" s="3">
        <f t="shared" si="71"/>
        <v>0.26885460685293106</v>
      </c>
      <c r="CQ63" s="3">
        <f t="shared" si="72"/>
        <v>14.230394060584896</v>
      </c>
      <c r="CR63">
        <f t="shared" si="73"/>
        <v>0.0008126605768421442</v>
      </c>
      <c r="CS63" s="3">
        <f t="shared" si="74"/>
        <v>14.22995514133163</v>
      </c>
    </row>
    <row r="64" spans="1:97" ht="12.75">
      <c r="A64" s="83">
        <v>37951</v>
      </c>
      <c r="B64" s="53">
        <v>137</v>
      </c>
      <c r="C64" s="53">
        <v>138</v>
      </c>
      <c r="D64" s="52">
        <v>135.5</v>
      </c>
      <c r="E64" s="52">
        <v>136</v>
      </c>
      <c r="F64" s="1">
        <v>2173913</v>
      </c>
      <c r="G64" s="4">
        <f t="shared" si="135"/>
        <v>0</v>
      </c>
      <c r="H64" s="4">
        <f t="shared" si="136"/>
        <v>545</v>
      </c>
      <c r="I64" s="4">
        <f t="shared" si="137"/>
        <v>0</v>
      </c>
      <c r="J64" s="9">
        <f t="shared" si="138"/>
        <v>137.25</v>
      </c>
      <c r="K64" s="9">
        <f t="shared" si="139"/>
        <v>134.75</v>
      </c>
      <c r="L64" s="6">
        <f t="shared" si="140"/>
        <v>143.04570383912247</v>
      </c>
      <c r="M64" s="6">
        <f t="shared" si="141"/>
        <v>130.54570383912247</v>
      </c>
      <c r="N64" s="13">
        <f t="shared" si="142"/>
        <v>141.33352768414574</v>
      </c>
      <c r="O64" s="13">
        <f t="shared" si="143"/>
        <v>134.775</v>
      </c>
      <c r="P64" s="13">
        <f t="shared" si="144"/>
        <v>127.95852768414572</v>
      </c>
      <c r="Q64" s="1">
        <f t="shared" si="145"/>
        <v>2.5</v>
      </c>
      <c r="R64" s="1">
        <f t="shared" si="146"/>
        <v>2</v>
      </c>
      <c r="S64" s="1">
        <f t="shared" si="147"/>
        <v>0.5</v>
      </c>
      <c r="T64" s="6">
        <f t="shared" si="148"/>
        <v>2.5</v>
      </c>
      <c r="U64" s="6">
        <f t="shared" si="149"/>
        <v>2.5</v>
      </c>
      <c r="V64" s="3">
        <f t="shared" si="150"/>
        <v>0.5</v>
      </c>
      <c r="W64" s="3">
        <f t="shared" si="151"/>
        <v>0</v>
      </c>
      <c r="X64" s="3">
        <f t="shared" si="152"/>
        <v>0.5</v>
      </c>
      <c r="Y64" s="3">
        <f t="shared" si="153"/>
        <v>0</v>
      </c>
      <c r="Z64" s="3">
        <f t="shared" si="154"/>
        <v>0.5</v>
      </c>
      <c r="AA64" s="3">
        <f t="shared" si="155"/>
        <v>0</v>
      </c>
      <c r="AB64" s="30">
        <f t="shared" si="156"/>
        <v>44.5</v>
      </c>
      <c r="AC64" s="6">
        <f t="shared" si="157"/>
        <v>14</v>
      </c>
      <c r="AD64" s="6">
        <f t="shared" si="158"/>
        <v>10.5</v>
      </c>
      <c r="AE64" s="16">
        <f t="shared" si="159"/>
        <v>31</v>
      </c>
      <c r="AF64" s="16">
        <f t="shared" si="160"/>
        <v>23</v>
      </c>
      <c r="AG64" s="1">
        <f t="shared" si="161"/>
        <v>8</v>
      </c>
      <c r="AH64" s="1">
        <f t="shared" si="162"/>
        <v>54</v>
      </c>
      <c r="AI64" s="16">
        <f t="shared" si="163"/>
        <v>15</v>
      </c>
      <c r="AJ64" s="16">
        <f t="shared" si="164"/>
        <v>17</v>
      </c>
      <c r="AK64" s="16">
        <f t="shared" si="165"/>
        <v>20</v>
      </c>
      <c r="AL64" s="16">
        <f t="shared" si="166"/>
        <v>890</v>
      </c>
      <c r="AM64" s="59">
        <f t="shared" si="167"/>
        <v>10</v>
      </c>
      <c r="AO64" s="58">
        <f>MAX($E$26:E63)-AM63</f>
        <v>127</v>
      </c>
      <c r="AQ64" s="1">
        <f t="shared" si="168"/>
        <v>136.5</v>
      </c>
      <c r="AR64" s="38">
        <f t="shared" si="169"/>
        <v>134.9</v>
      </c>
      <c r="AS64" s="39">
        <f t="shared" si="170"/>
        <v>137.4</v>
      </c>
      <c r="AT64" s="38">
        <f t="shared" si="171"/>
        <v>139.9</v>
      </c>
      <c r="AU64" s="39">
        <f t="shared" si="172"/>
        <v>132.4</v>
      </c>
      <c r="AV64" s="1">
        <f t="shared" si="173"/>
        <v>0</v>
      </c>
      <c r="AW64" s="1">
        <f t="shared" si="174"/>
        <v>0</v>
      </c>
      <c r="AX64" s="1">
        <f t="shared" si="175"/>
        <v>134</v>
      </c>
      <c r="AY64" s="1">
        <f t="shared" si="176"/>
        <v>138.5</v>
      </c>
      <c r="AZ64" s="75" t="s">
        <v>77</v>
      </c>
      <c r="BB64" s="41">
        <f>IF(BB63+BF63&gt;MIN(D63,D62),MIN(D63,D62),BB63+BF63)</f>
        <v>129.66</v>
      </c>
      <c r="BC64" s="3">
        <f>MAX($C$63:C64)</f>
        <v>138</v>
      </c>
      <c r="BD64" s="3">
        <f>BC64-BB64</f>
        <v>8.340000000000003</v>
      </c>
      <c r="BE64" s="3">
        <f>MIN(IF(MAX($C$63:C64)&gt;MAX($C$63:C63),BE63+0.02,BE63),0.2)</f>
        <v>0.04</v>
      </c>
      <c r="BF64" s="3">
        <f t="shared" si="134"/>
        <v>0.3336000000000001</v>
      </c>
      <c r="BJ64" s="5">
        <f t="shared" si="177"/>
        <v>0</v>
      </c>
      <c r="BK64" s="5">
        <f t="shared" si="178"/>
        <v>0</v>
      </c>
      <c r="BL64" s="3">
        <f t="shared" si="179"/>
        <v>0.8928571428571429</v>
      </c>
      <c r="BM64" s="3">
        <f t="shared" si="180"/>
        <v>0.8928571428571429</v>
      </c>
      <c r="BN64" s="30">
        <f t="shared" si="181"/>
        <v>50</v>
      </c>
      <c r="BO64" s="21">
        <f t="shared" si="182"/>
        <v>138.48276212829248</v>
      </c>
      <c r="BP64" s="21">
        <f t="shared" si="183"/>
        <v>134.775</v>
      </c>
      <c r="BQ64" s="21">
        <f t="shared" si="184"/>
        <v>131.06723787170753</v>
      </c>
      <c r="BR64" s="19"/>
      <c r="BS64" s="21">
        <f t="shared" si="185"/>
        <v>0.055021511827749545</v>
      </c>
      <c r="BT64" s="21">
        <f t="shared" si="186"/>
        <v>0.6651939846211414</v>
      </c>
      <c r="BU64" s="6">
        <f t="shared" si="187"/>
        <v>-1304347.8</v>
      </c>
      <c r="BV64" s="6">
        <f t="shared" si="188"/>
        <v>-869565.2000000001</v>
      </c>
      <c r="BW64" s="6">
        <f t="shared" si="189"/>
        <v>2.1739103173831595</v>
      </c>
      <c r="BX64" s="25">
        <f t="shared" si="190"/>
        <v>192088.37301587308</v>
      </c>
      <c r="BY64" s="25">
        <f t="shared" si="191"/>
        <v>137188.7353174603</v>
      </c>
      <c r="BZ64" s="26">
        <f t="shared" si="192"/>
        <v>0.5250927057297206</v>
      </c>
      <c r="CA64" s="33">
        <f t="shared" si="193"/>
        <v>1.0123456790123455</v>
      </c>
      <c r="CB64" s="27">
        <f t="shared" si="194"/>
        <v>1.2182233809944978</v>
      </c>
      <c r="CC64" s="66">
        <f t="shared" si="195"/>
        <v>136.16666666666666</v>
      </c>
      <c r="CD64" s="56">
        <f t="shared" si="196"/>
        <v>134.83333333333331</v>
      </c>
      <c r="CE64" s="66">
        <f t="shared" si="197"/>
        <v>137.33333333333331</v>
      </c>
      <c r="CF64" s="56">
        <f t="shared" si="198"/>
        <v>133.66666666666669</v>
      </c>
      <c r="CG64" s="66">
        <f t="shared" si="199"/>
        <v>138.66666666666666</v>
      </c>
      <c r="CH64" s="56">
        <f t="shared" si="200"/>
        <v>132.33333333333334</v>
      </c>
      <c r="CI64" s="66">
        <f t="shared" si="201"/>
        <v>140</v>
      </c>
      <c r="CJ64" s="56">
        <f t="shared" si="202"/>
        <v>131.16666666666669</v>
      </c>
      <c r="CK64" s="66">
        <f t="shared" si="203"/>
        <v>141.16666666666663</v>
      </c>
      <c r="CL64" s="84">
        <f t="shared" si="67"/>
        <v>138</v>
      </c>
      <c r="CM64" s="84">
        <f t="shared" si="68"/>
        <v>134.75</v>
      </c>
      <c r="CN64" s="84">
        <f t="shared" si="69"/>
        <v>132</v>
      </c>
      <c r="CO64" s="3">
        <f t="shared" si="70"/>
        <v>-4.071436850708132</v>
      </c>
      <c r="CP64" s="3">
        <f t="shared" si="71"/>
        <v>0.11898469875437251</v>
      </c>
      <c r="CQ64" s="3">
        <f t="shared" si="72"/>
        <v>13.861022886212355</v>
      </c>
      <c r="CR64">
        <f t="shared" si="73"/>
        <v>0.000977500804522216</v>
      </c>
      <c r="CS64" s="3">
        <f t="shared" si="74"/>
        <v>13.860490477668463</v>
      </c>
    </row>
    <row r="65" spans="1:97" ht="12.75">
      <c r="A65" s="83">
        <v>37952</v>
      </c>
      <c r="B65" s="53">
        <v>136.5</v>
      </c>
      <c r="C65" s="52">
        <v>137.5</v>
      </c>
      <c r="D65" s="53">
        <v>136</v>
      </c>
      <c r="E65" s="52">
        <v>136.5</v>
      </c>
      <c r="F65" s="1">
        <v>733223</v>
      </c>
      <c r="G65" s="4">
        <f t="shared" si="135"/>
        <v>0</v>
      </c>
      <c r="H65" s="4">
        <f t="shared" si="136"/>
        <v>0</v>
      </c>
      <c r="I65" s="4">
        <f t="shared" si="137"/>
        <v>546.5</v>
      </c>
      <c r="J65" s="9">
        <f t="shared" si="138"/>
        <v>137</v>
      </c>
      <c r="K65" s="9">
        <f t="shared" si="139"/>
        <v>134.5</v>
      </c>
      <c r="L65" s="6">
        <f t="shared" si="140"/>
        <v>140.5164533820841</v>
      </c>
      <c r="M65" s="6">
        <f t="shared" si="141"/>
        <v>133.0164533820841</v>
      </c>
      <c r="N65" s="13">
        <f t="shared" si="142"/>
        <v>141.2782667030598</v>
      </c>
      <c r="O65" s="13">
        <f t="shared" si="143"/>
        <v>135</v>
      </c>
      <c r="P65" s="13">
        <f t="shared" si="144"/>
        <v>128.5282667030598</v>
      </c>
      <c r="Q65" s="1">
        <f t="shared" si="145"/>
        <v>1.5</v>
      </c>
      <c r="R65" s="1">
        <f t="shared" si="146"/>
        <v>1.5</v>
      </c>
      <c r="S65" s="1">
        <f t="shared" si="147"/>
        <v>0</v>
      </c>
      <c r="T65" s="6">
        <f t="shared" si="148"/>
        <v>1.5</v>
      </c>
      <c r="U65" s="6">
        <f t="shared" si="149"/>
        <v>1.5</v>
      </c>
      <c r="V65" s="3">
        <f t="shared" si="150"/>
        <v>0</v>
      </c>
      <c r="W65" s="3">
        <f t="shared" si="151"/>
        <v>0</v>
      </c>
      <c r="X65" s="3">
        <f t="shared" si="152"/>
        <v>0</v>
      </c>
      <c r="Y65" s="3">
        <f t="shared" si="153"/>
        <v>0</v>
      </c>
      <c r="Z65" s="3">
        <f t="shared" si="154"/>
        <v>0</v>
      </c>
      <c r="AA65" s="3">
        <f t="shared" si="155"/>
        <v>0</v>
      </c>
      <c r="AB65" s="30">
        <f t="shared" si="156"/>
        <v>42</v>
      </c>
      <c r="AC65" s="6">
        <f t="shared" si="157"/>
        <v>11</v>
      </c>
      <c r="AD65" s="6">
        <f t="shared" si="158"/>
        <v>10.5</v>
      </c>
      <c r="AE65" s="16">
        <f t="shared" si="159"/>
        <v>26</v>
      </c>
      <c r="AF65" s="16">
        <f t="shared" si="160"/>
        <v>25</v>
      </c>
      <c r="AG65" s="1">
        <f t="shared" si="161"/>
        <v>1</v>
      </c>
      <c r="AH65" s="1">
        <f t="shared" si="162"/>
        <v>51</v>
      </c>
      <c r="AI65" s="16">
        <f t="shared" si="163"/>
        <v>2</v>
      </c>
      <c r="AJ65" s="16">
        <f t="shared" si="164"/>
        <v>15.071428571428571</v>
      </c>
      <c r="AK65" s="16">
        <f t="shared" si="165"/>
        <v>19</v>
      </c>
      <c r="AL65" s="16">
        <f t="shared" si="166"/>
        <v>798</v>
      </c>
      <c r="AM65" s="59">
        <f t="shared" si="167"/>
        <v>10</v>
      </c>
      <c r="AO65" s="58">
        <f>MAX($E$26:E64)-AM64</f>
        <v>128</v>
      </c>
      <c r="AQ65" s="1">
        <f t="shared" si="168"/>
        <v>136.7</v>
      </c>
      <c r="AR65" s="38">
        <f t="shared" si="169"/>
        <v>135</v>
      </c>
      <c r="AS65" s="39">
        <f t="shared" si="170"/>
        <v>137.5</v>
      </c>
      <c r="AT65" s="38">
        <f t="shared" si="171"/>
        <v>140</v>
      </c>
      <c r="AU65" s="39">
        <f t="shared" si="172"/>
        <v>132.5</v>
      </c>
      <c r="AV65" s="1">
        <f t="shared" si="173"/>
        <v>0</v>
      </c>
      <c r="AW65" s="1">
        <f t="shared" si="174"/>
        <v>0</v>
      </c>
      <c r="AX65" s="1">
        <f t="shared" si="175"/>
        <v>135</v>
      </c>
      <c r="AY65" s="1">
        <f t="shared" si="176"/>
        <v>138</v>
      </c>
      <c r="AZ65" s="78" t="s">
        <v>213</v>
      </c>
      <c r="BB65" s="41">
        <f aca="true" t="shared" si="204" ref="BB65:BB72">IF(BB64+BF64&gt;MIN(D64,D63),MIN(D64,D63),BB64+BF64)</f>
        <v>129.9936</v>
      </c>
      <c r="BC65" s="3">
        <f>MAX($C$63:C65)</f>
        <v>138</v>
      </c>
      <c r="BD65" s="3">
        <f aca="true" t="shared" si="205" ref="BD65:BD72">BC65-BB65</f>
        <v>8.006400000000014</v>
      </c>
      <c r="BE65" s="3">
        <f>MIN(IF(MAX($C$63:C65)&gt;MAX($C$63:C64),BE64+0.02,BE64),0.2)</f>
        <v>0.04</v>
      </c>
      <c r="BF65" s="3">
        <f aca="true" t="shared" si="206" ref="BF65:BF74">BE65*BD65</f>
        <v>0.32025600000000054</v>
      </c>
      <c r="BJ65" s="5">
        <f t="shared" si="177"/>
        <v>0.5</v>
      </c>
      <c r="BK65" s="5">
        <f t="shared" si="178"/>
        <v>0</v>
      </c>
      <c r="BL65" s="3">
        <f t="shared" si="179"/>
        <v>0.7857142857142857</v>
      </c>
      <c r="BM65" s="3">
        <f t="shared" si="180"/>
        <v>0.8928571428571429</v>
      </c>
      <c r="BN65" s="30">
        <f t="shared" si="181"/>
        <v>46.80851063829787</v>
      </c>
      <c r="BO65" s="21">
        <f t="shared" si="182"/>
        <v>138.54964786985977</v>
      </c>
      <c r="BP65" s="21">
        <f t="shared" si="183"/>
        <v>135</v>
      </c>
      <c r="BQ65" s="21">
        <f t="shared" si="184"/>
        <v>131.45035213014023</v>
      </c>
      <c r="BR65" s="19"/>
      <c r="BS65" s="21">
        <f t="shared" si="185"/>
        <v>0.05258737584977435</v>
      </c>
      <c r="BT65" s="21">
        <f t="shared" si="186"/>
        <v>0.7112885636821292</v>
      </c>
      <c r="BU65" s="6">
        <f t="shared" si="187"/>
        <v>-244407.66666666666</v>
      </c>
      <c r="BV65" s="6">
        <f t="shared" si="188"/>
        <v>0</v>
      </c>
      <c r="BW65" s="6">
        <f t="shared" si="189"/>
        <v>0.7332251739103174</v>
      </c>
      <c r="BX65" s="25">
        <f t="shared" si="190"/>
        <v>244754.65873015876</v>
      </c>
      <c r="BY65" s="25">
        <f t="shared" si="191"/>
        <v>137188.7353174603</v>
      </c>
      <c r="BZ65" s="26">
        <f t="shared" si="192"/>
        <v>0.3670938108069913</v>
      </c>
      <c r="CA65" s="33">
        <f t="shared" si="193"/>
        <v>1.007043493572812</v>
      </c>
      <c r="CB65" s="27">
        <f t="shared" si="194"/>
        <v>0.851782466900178</v>
      </c>
      <c r="CC65" s="66">
        <f t="shared" si="195"/>
        <v>136.5</v>
      </c>
      <c r="CD65" s="56">
        <f t="shared" si="196"/>
        <v>135</v>
      </c>
      <c r="CE65" s="66">
        <f t="shared" si="197"/>
        <v>137.5</v>
      </c>
      <c r="CF65" s="56">
        <f t="shared" si="198"/>
        <v>134</v>
      </c>
      <c r="CG65" s="66">
        <f t="shared" si="199"/>
        <v>139</v>
      </c>
      <c r="CH65" s="56">
        <f t="shared" si="200"/>
        <v>132.5</v>
      </c>
      <c r="CI65" s="66">
        <f t="shared" si="201"/>
        <v>140.5</v>
      </c>
      <c r="CJ65" s="56">
        <f t="shared" si="202"/>
        <v>131.5</v>
      </c>
      <c r="CK65" s="66">
        <f t="shared" si="203"/>
        <v>141.5</v>
      </c>
      <c r="CL65" s="84">
        <f t="shared" si="67"/>
        <v>138</v>
      </c>
      <c r="CM65" s="84">
        <f t="shared" si="68"/>
        <v>135.25</v>
      </c>
      <c r="CN65" s="84">
        <f t="shared" si="69"/>
        <v>132.2375</v>
      </c>
      <c r="CO65" s="3">
        <f t="shared" si="70"/>
        <v>-4.045699761386036</v>
      </c>
      <c r="CP65" s="3">
        <f t="shared" si="71"/>
        <v>-0.021792446324018923</v>
      </c>
      <c r="CQ65" s="3">
        <f t="shared" si="72"/>
        <v>13.64132183512181</v>
      </c>
      <c r="CR65">
        <f t="shared" si="73"/>
        <v>0.0010909996231817727</v>
      </c>
      <c r="CS65" s="3">
        <f t="shared" si="74"/>
        <v>13.640772704093251</v>
      </c>
    </row>
    <row r="66" spans="1:97" ht="12.75">
      <c r="A66" s="83">
        <v>37953</v>
      </c>
      <c r="B66" s="53">
        <v>137</v>
      </c>
      <c r="C66" s="53">
        <v>137.5</v>
      </c>
      <c r="D66" s="52">
        <v>135</v>
      </c>
      <c r="E66" s="52">
        <v>136</v>
      </c>
      <c r="F66" s="1">
        <v>1437901</v>
      </c>
      <c r="G66" s="4">
        <f t="shared" si="135"/>
        <v>0</v>
      </c>
      <c r="H66" s="4">
        <f t="shared" si="136"/>
        <v>543.5</v>
      </c>
      <c r="I66" s="4">
        <f t="shared" si="137"/>
        <v>0</v>
      </c>
      <c r="J66" s="9">
        <f t="shared" si="138"/>
        <v>137.25</v>
      </c>
      <c r="K66" s="9">
        <f t="shared" si="139"/>
        <v>135.75</v>
      </c>
      <c r="L66" s="6">
        <f t="shared" si="140"/>
        <v>142.545871559633</v>
      </c>
      <c r="M66" s="6">
        <f t="shared" si="141"/>
        <v>130.045871559633</v>
      </c>
      <c r="N66" s="13">
        <f t="shared" si="142"/>
        <v>141.50318836453292</v>
      </c>
      <c r="O66" s="13">
        <f t="shared" si="143"/>
        <v>135.175</v>
      </c>
      <c r="P66" s="13">
        <f t="shared" si="144"/>
        <v>128.75318836453292</v>
      </c>
      <c r="Q66" s="1">
        <f t="shared" si="145"/>
        <v>2.5</v>
      </c>
      <c r="R66" s="1">
        <f t="shared" si="146"/>
        <v>1</v>
      </c>
      <c r="S66" s="1">
        <f t="shared" si="147"/>
        <v>1.5</v>
      </c>
      <c r="T66" s="6">
        <f t="shared" si="148"/>
        <v>2.5</v>
      </c>
      <c r="U66" s="6">
        <f t="shared" si="149"/>
        <v>2.5</v>
      </c>
      <c r="V66" s="3">
        <f t="shared" si="150"/>
        <v>0</v>
      </c>
      <c r="W66" s="3">
        <f t="shared" si="151"/>
        <v>1</v>
      </c>
      <c r="X66" s="3">
        <f t="shared" si="152"/>
        <v>0</v>
      </c>
      <c r="Y66" s="3">
        <f t="shared" si="153"/>
        <v>1</v>
      </c>
      <c r="Z66" s="3">
        <f t="shared" si="154"/>
        <v>0</v>
      </c>
      <c r="AA66" s="3">
        <f t="shared" si="155"/>
        <v>1</v>
      </c>
      <c r="AB66" s="30">
        <f t="shared" si="156"/>
        <v>41.5</v>
      </c>
      <c r="AC66" s="6">
        <f t="shared" si="157"/>
        <v>11</v>
      </c>
      <c r="AD66" s="6">
        <f t="shared" si="158"/>
        <v>9.5</v>
      </c>
      <c r="AE66" s="16">
        <f t="shared" si="159"/>
        <v>27</v>
      </c>
      <c r="AF66" s="16">
        <f t="shared" si="160"/>
        <v>22</v>
      </c>
      <c r="AG66" s="1">
        <f t="shared" si="161"/>
        <v>5</v>
      </c>
      <c r="AH66" s="1">
        <f t="shared" si="162"/>
        <v>49</v>
      </c>
      <c r="AI66" s="16">
        <f t="shared" si="163"/>
        <v>10</v>
      </c>
      <c r="AJ66" s="16">
        <f t="shared" si="164"/>
        <v>14.857142857142858</v>
      </c>
      <c r="AK66" s="16">
        <f t="shared" si="165"/>
        <v>19</v>
      </c>
      <c r="AL66" s="16">
        <f t="shared" si="166"/>
        <v>788.5</v>
      </c>
      <c r="AM66" s="59">
        <f t="shared" si="167"/>
        <v>9</v>
      </c>
      <c r="AO66" s="58">
        <f>MAX($E$26:E65)-AM65</f>
        <v>128</v>
      </c>
      <c r="AQ66" s="1">
        <f t="shared" si="168"/>
        <v>136.2</v>
      </c>
      <c r="AR66" s="38">
        <f t="shared" si="169"/>
        <v>135.9</v>
      </c>
      <c r="AS66" s="39">
        <f t="shared" si="170"/>
        <v>137.4</v>
      </c>
      <c r="AT66" s="38">
        <f t="shared" si="171"/>
        <v>138.9</v>
      </c>
      <c r="AU66" s="39">
        <f t="shared" si="172"/>
        <v>134.4</v>
      </c>
      <c r="AV66" s="69">
        <f t="shared" si="173"/>
        <v>0</v>
      </c>
      <c r="AW66" s="1">
        <f t="shared" si="174"/>
        <v>0</v>
      </c>
      <c r="AX66" s="1">
        <f t="shared" si="175"/>
        <v>135.5</v>
      </c>
      <c r="AY66" s="1">
        <f t="shared" si="176"/>
        <v>138</v>
      </c>
      <c r="AZ66" s="73" t="s">
        <v>186</v>
      </c>
      <c r="BA66" s="68" t="s">
        <v>189</v>
      </c>
      <c r="BB66" s="41">
        <f t="shared" si="204"/>
        <v>130.313856</v>
      </c>
      <c r="BC66" s="3">
        <f>MAX($C$63:C66)</f>
        <v>138</v>
      </c>
      <c r="BD66" s="3">
        <f t="shared" si="205"/>
        <v>7.686144000000013</v>
      </c>
      <c r="BE66" s="3">
        <f>MIN(IF(MAX($C$63:C66)&gt;MAX($C$63:C65),BE65+0.02,BE65),0.2)</f>
        <v>0.04</v>
      </c>
      <c r="BF66" s="3">
        <f t="shared" si="206"/>
        <v>0.3074457600000005</v>
      </c>
      <c r="BJ66" s="5">
        <f t="shared" si="177"/>
        <v>0</v>
      </c>
      <c r="BK66" s="5">
        <f t="shared" si="178"/>
        <v>0.5</v>
      </c>
      <c r="BL66" s="3">
        <f t="shared" si="179"/>
        <v>0.7857142857142857</v>
      </c>
      <c r="BM66" s="3">
        <f t="shared" si="180"/>
        <v>0.7142857142857143</v>
      </c>
      <c r="BN66" s="30">
        <f t="shared" si="181"/>
        <v>52.38095238095237</v>
      </c>
      <c r="BO66" s="21">
        <f t="shared" si="182"/>
        <v>138.5554585487771</v>
      </c>
      <c r="BP66" s="21">
        <f t="shared" si="183"/>
        <v>135.175</v>
      </c>
      <c r="BQ66" s="21">
        <f t="shared" si="184"/>
        <v>131.79454145122293</v>
      </c>
      <c r="BR66" s="19"/>
      <c r="BS66" s="21">
        <f t="shared" si="185"/>
        <v>0.05001603179252206</v>
      </c>
      <c r="BT66" s="21">
        <f t="shared" si="186"/>
        <v>0.6220248655760682</v>
      </c>
      <c r="BU66" s="6">
        <f t="shared" si="187"/>
        <v>-287580.2</v>
      </c>
      <c r="BV66" s="6">
        <f t="shared" si="188"/>
        <v>-575160.4</v>
      </c>
      <c r="BW66" s="6">
        <f t="shared" si="189"/>
        <v>-1.437900266774826</v>
      </c>
      <c r="BX66" s="25">
        <f t="shared" si="190"/>
        <v>373013.073015873</v>
      </c>
      <c r="BY66" s="25">
        <f t="shared" si="191"/>
        <v>195305.75436507934</v>
      </c>
      <c r="BZ66" s="26">
        <f t="shared" si="192"/>
        <v>0.41318629566523934</v>
      </c>
      <c r="CA66" s="33">
        <f t="shared" si="193"/>
        <v>1.006511791622668</v>
      </c>
      <c r="CB66" s="27">
        <f t="shared" si="194"/>
        <v>0.7110267112565336</v>
      </c>
      <c r="CC66" s="66">
        <f t="shared" si="195"/>
        <v>136.66666666666666</v>
      </c>
      <c r="CD66" s="56">
        <f t="shared" si="196"/>
        <v>135.83333333333331</v>
      </c>
      <c r="CE66" s="66">
        <f t="shared" si="197"/>
        <v>137.33333333333331</v>
      </c>
      <c r="CF66" s="56">
        <f t="shared" si="198"/>
        <v>135.16666666666669</v>
      </c>
      <c r="CG66" s="66">
        <f t="shared" si="199"/>
        <v>138.16666666666666</v>
      </c>
      <c r="CH66" s="56">
        <f t="shared" si="200"/>
        <v>134.33333333333334</v>
      </c>
      <c r="CI66" s="66">
        <f t="shared" si="201"/>
        <v>139</v>
      </c>
      <c r="CJ66" s="56">
        <f t="shared" si="202"/>
        <v>133.66666666666669</v>
      </c>
      <c r="CK66" s="66">
        <f t="shared" si="203"/>
        <v>139.66666666666663</v>
      </c>
      <c r="CL66" s="84">
        <f t="shared" si="67"/>
        <v>138</v>
      </c>
      <c r="CM66" s="84">
        <f t="shared" si="68"/>
        <v>135.75</v>
      </c>
      <c r="CN66" s="84">
        <f t="shared" si="69"/>
        <v>132.2375</v>
      </c>
      <c r="CO66" s="3">
        <f t="shared" si="70"/>
        <v>-3.80787062496834</v>
      </c>
      <c r="CP66" s="3">
        <f t="shared" si="71"/>
        <v>-0.1763859165128738</v>
      </c>
      <c r="CQ66" s="3">
        <f t="shared" si="72"/>
        <v>12.186938885560936</v>
      </c>
      <c r="CR66">
        <f t="shared" si="73"/>
        <v>0.0022575628269510964</v>
      </c>
      <c r="CS66" s="3">
        <f t="shared" si="74"/>
        <v>12.186872377795737</v>
      </c>
    </row>
    <row r="67" spans="1:97" ht="12.75">
      <c r="A67" s="83">
        <v>37956</v>
      </c>
      <c r="B67" s="53">
        <v>136.5</v>
      </c>
      <c r="C67" s="53">
        <v>137.5</v>
      </c>
      <c r="D67" s="52">
        <v>134.5</v>
      </c>
      <c r="E67" s="52">
        <v>136</v>
      </c>
      <c r="F67" s="1">
        <v>1586575</v>
      </c>
      <c r="G67" s="4">
        <f t="shared" si="135"/>
        <v>0</v>
      </c>
      <c r="H67" s="4">
        <f t="shared" si="136"/>
        <v>542.5</v>
      </c>
      <c r="I67" s="4">
        <f t="shared" si="137"/>
        <v>0</v>
      </c>
      <c r="J67" s="9">
        <f t="shared" si="138"/>
        <v>136.75</v>
      </c>
      <c r="K67" s="9">
        <f t="shared" si="139"/>
        <v>134.25</v>
      </c>
      <c r="L67" s="6">
        <f t="shared" si="140"/>
        <v>143.56617647058823</v>
      </c>
      <c r="M67" s="6">
        <f t="shared" si="141"/>
        <v>128.56617647058823</v>
      </c>
      <c r="N67" s="13">
        <f t="shared" si="142"/>
        <v>141.55316385472898</v>
      </c>
      <c r="O67" s="13">
        <f t="shared" si="143"/>
        <v>135.2</v>
      </c>
      <c r="P67" s="13">
        <f t="shared" si="144"/>
        <v>128.80316385472898</v>
      </c>
      <c r="Q67" s="1">
        <f t="shared" si="145"/>
        <v>3</v>
      </c>
      <c r="R67" s="1">
        <f t="shared" si="146"/>
        <v>1.5</v>
      </c>
      <c r="S67" s="1">
        <f t="shared" si="147"/>
        <v>1.5</v>
      </c>
      <c r="T67" s="6">
        <f t="shared" si="148"/>
        <v>3</v>
      </c>
      <c r="U67" s="6">
        <f t="shared" si="149"/>
        <v>3</v>
      </c>
      <c r="V67" s="3">
        <f t="shared" si="150"/>
        <v>0</v>
      </c>
      <c r="W67" s="3">
        <f t="shared" si="151"/>
        <v>0.5</v>
      </c>
      <c r="X67" s="3">
        <f t="shared" si="152"/>
        <v>0</v>
      </c>
      <c r="Y67" s="3">
        <f t="shared" si="153"/>
        <v>0.5</v>
      </c>
      <c r="Z67" s="3">
        <f t="shared" si="154"/>
        <v>0</v>
      </c>
      <c r="AA67" s="3">
        <f t="shared" si="155"/>
        <v>0.5</v>
      </c>
      <c r="AB67" s="30">
        <f t="shared" si="156"/>
        <v>42</v>
      </c>
      <c r="AC67" s="6">
        <f t="shared" si="157"/>
        <v>11</v>
      </c>
      <c r="AD67" s="6">
        <f t="shared" si="158"/>
        <v>7.5</v>
      </c>
      <c r="AE67" s="16">
        <f t="shared" si="159"/>
        <v>26</v>
      </c>
      <c r="AF67" s="16">
        <f t="shared" si="160"/>
        <v>17</v>
      </c>
      <c r="AG67" s="1">
        <f t="shared" si="161"/>
        <v>9</v>
      </c>
      <c r="AH67" s="1">
        <f t="shared" si="162"/>
        <v>43</v>
      </c>
      <c r="AI67" s="16">
        <f t="shared" si="163"/>
        <v>21</v>
      </c>
      <c r="AJ67" s="16">
        <f t="shared" si="164"/>
        <v>15.571428571428571</v>
      </c>
      <c r="AK67" s="16">
        <f t="shared" si="165"/>
        <v>19</v>
      </c>
      <c r="AL67" s="16">
        <f t="shared" si="166"/>
        <v>798</v>
      </c>
      <c r="AM67" s="59">
        <f t="shared" si="167"/>
        <v>9</v>
      </c>
      <c r="AO67" s="58">
        <f>MAX($E$26:E66)-AM66</f>
        <v>129</v>
      </c>
      <c r="AQ67" s="1">
        <f t="shared" si="168"/>
        <v>136</v>
      </c>
      <c r="AR67" s="38">
        <f t="shared" si="169"/>
        <v>134.9</v>
      </c>
      <c r="AS67" s="39">
        <f t="shared" si="170"/>
        <v>137.4</v>
      </c>
      <c r="AT67" s="38">
        <f t="shared" si="171"/>
        <v>139.9</v>
      </c>
      <c r="AU67" s="39">
        <f t="shared" si="172"/>
        <v>132.4</v>
      </c>
      <c r="AV67" s="1">
        <f t="shared" si="173"/>
        <v>0</v>
      </c>
      <c r="AW67" s="1">
        <f t="shared" si="174"/>
        <v>0</v>
      </c>
      <c r="AX67" s="1">
        <f t="shared" si="175"/>
        <v>135</v>
      </c>
      <c r="AY67" s="1">
        <f t="shared" si="176"/>
        <v>137.5</v>
      </c>
      <c r="AZ67" s="75" t="s">
        <v>190</v>
      </c>
      <c r="BB67" s="41">
        <f t="shared" si="204"/>
        <v>130.62130176</v>
      </c>
      <c r="BC67" s="3">
        <f>MAX($C$63:C67)</f>
        <v>138</v>
      </c>
      <c r="BD67" s="3">
        <f t="shared" si="205"/>
        <v>7.378698240000006</v>
      </c>
      <c r="BE67" s="3">
        <f>MIN(IF(MAX($C$63:C67)&gt;MAX($C$63:C66),BE66+0.02,BE66),0.2)</f>
        <v>0.04</v>
      </c>
      <c r="BF67" s="3">
        <f t="shared" si="206"/>
        <v>0.29514792960000025</v>
      </c>
      <c r="BJ67" s="5">
        <f t="shared" si="177"/>
        <v>0</v>
      </c>
      <c r="BK67" s="5">
        <f t="shared" si="178"/>
        <v>0</v>
      </c>
      <c r="BL67" s="3">
        <f t="shared" si="179"/>
        <v>0.7857142857142857</v>
      </c>
      <c r="BM67" s="3">
        <f t="shared" si="180"/>
        <v>0.6428571428571429</v>
      </c>
      <c r="BN67" s="30">
        <f t="shared" si="181"/>
        <v>55</v>
      </c>
      <c r="BO67" s="21">
        <f t="shared" si="182"/>
        <v>138.5970575502926</v>
      </c>
      <c r="BP67" s="21">
        <f t="shared" si="183"/>
        <v>135.2</v>
      </c>
      <c r="BQ67" s="21">
        <f t="shared" si="184"/>
        <v>131.8029424497074</v>
      </c>
      <c r="BR67" s="19"/>
      <c r="BS67" s="21">
        <f t="shared" si="185"/>
        <v>0.0502523306256302</v>
      </c>
      <c r="BT67" s="21">
        <f t="shared" si="186"/>
        <v>0.6177489618818945</v>
      </c>
      <c r="BU67" s="6">
        <f t="shared" si="187"/>
        <v>0</v>
      </c>
      <c r="BV67" s="6">
        <f t="shared" si="188"/>
        <v>-264429.1666666666</v>
      </c>
      <c r="BW67" s="6">
        <f t="shared" si="189"/>
        <v>1.5865735620997332</v>
      </c>
      <c r="BX67" s="25">
        <f t="shared" si="190"/>
        <v>298613.1444444444</v>
      </c>
      <c r="BY67" s="25">
        <f t="shared" si="191"/>
        <v>139217.99246031744</v>
      </c>
      <c r="BZ67" s="26">
        <f t="shared" si="192"/>
        <v>0.6753129846148671</v>
      </c>
      <c r="CA67" s="33">
        <f t="shared" si="193"/>
        <v>1.0038616815868</v>
      </c>
      <c r="CB67" s="27">
        <f t="shared" si="194"/>
        <v>0.6089534392037826</v>
      </c>
      <c r="CC67" s="66">
        <f t="shared" si="195"/>
        <v>136.16666666666666</v>
      </c>
      <c r="CD67" s="56">
        <f t="shared" si="196"/>
        <v>134.83333333333331</v>
      </c>
      <c r="CE67" s="66">
        <f t="shared" si="197"/>
        <v>137.33333333333331</v>
      </c>
      <c r="CF67" s="56">
        <f t="shared" si="198"/>
        <v>133.66666666666669</v>
      </c>
      <c r="CG67" s="66">
        <f t="shared" si="199"/>
        <v>138.66666666666666</v>
      </c>
      <c r="CH67" s="56">
        <f t="shared" si="200"/>
        <v>132.33333333333334</v>
      </c>
      <c r="CI67" s="66">
        <f t="shared" si="201"/>
        <v>140</v>
      </c>
      <c r="CJ67" s="56">
        <f t="shared" si="202"/>
        <v>131.16666666666669</v>
      </c>
      <c r="CK67" s="66">
        <f t="shared" si="203"/>
        <v>141.16666666666663</v>
      </c>
      <c r="CL67" s="84">
        <f t="shared" si="67"/>
        <v>138</v>
      </c>
      <c r="CM67" s="84">
        <f t="shared" si="68"/>
        <v>136</v>
      </c>
      <c r="CN67" s="84">
        <f t="shared" si="69"/>
        <v>132.2375</v>
      </c>
      <c r="CO67" s="3">
        <f t="shared" si="70"/>
        <v>-3.8437209334923312</v>
      </c>
      <c r="CP67" s="3">
        <f t="shared" si="71"/>
        <v>-0.21581062107773424</v>
      </c>
      <c r="CQ67" s="3">
        <f t="shared" si="72"/>
        <v>12.467072926039158</v>
      </c>
      <c r="CR67">
        <f t="shared" si="73"/>
        <v>0.001962499303959949</v>
      </c>
      <c r="CS67" s="3">
        <f t="shared" si="74"/>
        <v>12.466878979466856</v>
      </c>
    </row>
    <row r="68" spans="1:97" ht="12.75">
      <c r="A68" s="83">
        <v>37957</v>
      </c>
      <c r="B68" s="52">
        <v>136</v>
      </c>
      <c r="C68" s="52">
        <v>137.5</v>
      </c>
      <c r="D68" s="52">
        <v>135</v>
      </c>
      <c r="E68" s="52">
        <v>135.5</v>
      </c>
      <c r="F68" s="1">
        <v>2036842</v>
      </c>
      <c r="G68" s="4">
        <f t="shared" si="135"/>
        <v>0</v>
      </c>
      <c r="H68" s="4">
        <f t="shared" si="136"/>
        <v>543</v>
      </c>
      <c r="I68" s="4">
        <f t="shared" si="137"/>
        <v>0</v>
      </c>
      <c r="J68" s="9">
        <f t="shared" si="138"/>
        <v>136.75</v>
      </c>
      <c r="K68" s="9">
        <f t="shared" si="139"/>
        <v>133.75</v>
      </c>
      <c r="L68" s="6">
        <f t="shared" si="140"/>
        <v>142.545871559633</v>
      </c>
      <c r="M68" s="6">
        <f t="shared" si="141"/>
        <v>130.045871559633</v>
      </c>
      <c r="N68" s="13">
        <f t="shared" si="142"/>
        <v>141.67897595122912</v>
      </c>
      <c r="O68" s="13">
        <f t="shared" si="143"/>
        <v>135.25</v>
      </c>
      <c r="P68" s="13">
        <f t="shared" si="144"/>
        <v>128.80397595122915</v>
      </c>
      <c r="Q68" s="1">
        <f t="shared" si="145"/>
        <v>2.5</v>
      </c>
      <c r="R68" s="1">
        <f t="shared" si="146"/>
        <v>1.5</v>
      </c>
      <c r="S68" s="1">
        <f t="shared" si="147"/>
        <v>1</v>
      </c>
      <c r="T68" s="6">
        <f t="shared" si="148"/>
        <v>2.5</v>
      </c>
      <c r="U68" s="6">
        <f t="shared" si="149"/>
        <v>2.5</v>
      </c>
      <c r="V68" s="3">
        <f t="shared" si="150"/>
        <v>0</v>
      </c>
      <c r="W68" s="3">
        <f t="shared" si="151"/>
        <v>0</v>
      </c>
      <c r="X68" s="3">
        <f t="shared" si="152"/>
        <v>0</v>
      </c>
      <c r="Y68" s="3">
        <f t="shared" si="153"/>
        <v>0</v>
      </c>
      <c r="Z68" s="3">
        <f t="shared" si="154"/>
        <v>0</v>
      </c>
      <c r="AA68" s="3">
        <f t="shared" si="155"/>
        <v>0</v>
      </c>
      <c r="AB68" s="30">
        <f t="shared" si="156"/>
        <v>42.5</v>
      </c>
      <c r="AC68" s="6">
        <f t="shared" si="157"/>
        <v>9.5</v>
      </c>
      <c r="AD68" s="6">
        <f t="shared" si="158"/>
        <v>7.5</v>
      </c>
      <c r="AE68" s="16">
        <f t="shared" si="159"/>
        <v>22</v>
      </c>
      <c r="AF68" s="16">
        <f t="shared" si="160"/>
        <v>17</v>
      </c>
      <c r="AG68" s="1">
        <f t="shared" si="161"/>
        <v>5</v>
      </c>
      <c r="AH68" s="1">
        <f t="shared" si="162"/>
        <v>39</v>
      </c>
      <c r="AI68" s="16">
        <f t="shared" si="163"/>
        <v>13</v>
      </c>
      <c r="AJ68" s="16">
        <f t="shared" si="164"/>
        <v>14.285714285714286</v>
      </c>
      <c r="AK68" s="16">
        <f t="shared" si="165"/>
        <v>18</v>
      </c>
      <c r="AL68" s="16">
        <f t="shared" si="166"/>
        <v>765</v>
      </c>
      <c r="AM68" s="59">
        <f t="shared" si="167"/>
        <v>9</v>
      </c>
      <c r="AO68" s="58">
        <f>MAX($E$26:E67)-AM67</f>
        <v>129</v>
      </c>
      <c r="AQ68" s="1">
        <f t="shared" si="168"/>
        <v>136</v>
      </c>
      <c r="AR68" s="38">
        <f t="shared" si="169"/>
        <v>134.5</v>
      </c>
      <c r="AS68" s="39">
        <f t="shared" si="170"/>
        <v>137.5</v>
      </c>
      <c r="AT68" s="38">
        <f t="shared" si="171"/>
        <v>140.5</v>
      </c>
      <c r="AU68" s="39">
        <f t="shared" si="172"/>
        <v>131.5</v>
      </c>
      <c r="AV68" s="1">
        <f t="shared" si="173"/>
        <v>0</v>
      </c>
      <c r="AW68" s="1">
        <f t="shared" si="174"/>
        <v>0</v>
      </c>
      <c r="AX68" s="1">
        <f t="shared" si="175"/>
        <v>134.5</v>
      </c>
      <c r="AY68" s="1">
        <f t="shared" si="176"/>
        <v>137.5</v>
      </c>
      <c r="AZ68" s="78" t="s">
        <v>76</v>
      </c>
      <c r="BA68" s="68" t="s">
        <v>191</v>
      </c>
      <c r="BB68" s="41">
        <f t="shared" si="204"/>
        <v>130.9164496896</v>
      </c>
      <c r="BC68" s="3">
        <f>MAX($C$63:C68)</f>
        <v>138</v>
      </c>
      <c r="BD68" s="3">
        <f t="shared" si="205"/>
        <v>7.0835503104</v>
      </c>
      <c r="BE68" s="3">
        <f>MIN(IF(MAX($C$63:C68)&gt;MAX($C$63:C67),BE67+0.02,BE67),0.2)</f>
        <v>0.04</v>
      </c>
      <c r="BF68" s="3">
        <f t="shared" si="206"/>
        <v>0.283342012416</v>
      </c>
      <c r="BJ68" s="5">
        <f t="shared" si="177"/>
        <v>0</v>
      </c>
      <c r="BK68" s="5">
        <f t="shared" si="178"/>
        <v>0.5</v>
      </c>
      <c r="BL68" s="3">
        <f t="shared" si="179"/>
        <v>0.6428571428571429</v>
      </c>
      <c r="BM68" s="3">
        <f t="shared" si="180"/>
        <v>0.6785714285714286</v>
      </c>
      <c r="BN68" s="30">
        <f t="shared" si="181"/>
        <v>48.64864864864865</v>
      </c>
      <c r="BO68" s="21">
        <f t="shared" si="182"/>
        <v>138.63378486313772</v>
      </c>
      <c r="BP68" s="21">
        <f t="shared" si="183"/>
        <v>135.25</v>
      </c>
      <c r="BQ68" s="21">
        <f t="shared" si="184"/>
        <v>131.86621513686228</v>
      </c>
      <c r="BR68" s="19"/>
      <c r="BS68" s="21">
        <f t="shared" si="185"/>
        <v>0.05003748411294225</v>
      </c>
      <c r="BT68" s="21">
        <f t="shared" si="186"/>
        <v>0.5369408827853465</v>
      </c>
      <c r="BU68" s="6">
        <f t="shared" si="187"/>
        <v>-1222105.2</v>
      </c>
      <c r="BV68" s="6">
        <f t="shared" si="188"/>
        <v>-407368.4</v>
      </c>
      <c r="BW68" s="6">
        <f t="shared" si="189"/>
        <v>-2.0368404134264377</v>
      </c>
      <c r="BX68" s="25">
        <f t="shared" si="190"/>
        <v>104218.27301587303</v>
      </c>
      <c r="BY68" s="25">
        <f t="shared" si="191"/>
        <v>38719.154365079325</v>
      </c>
      <c r="BZ68" s="26">
        <f t="shared" si="192"/>
        <v>0.42272288959869897</v>
      </c>
      <c r="CA68" s="33">
        <f t="shared" si="193"/>
        <v>0.9982502187226596</v>
      </c>
      <c r="CB68" s="27">
        <f t="shared" si="194"/>
        <v>0.8014237016092547</v>
      </c>
      <c r="CC68" s="66">
        <f t="shared" si="195"/>
        <v>136</v>
      </c>
      <c r="CD68" s="56">
        <f t="shared" si="196"/>
        <v>134.5</v>
      </c>
      <c r="CE68" s="66">
        <f t="shared" si="197"/>
        <v>137.5</v>
      </c>
      <c r="CF68" s="56">
        <f t="shared" si="198"/>
        <v>133</v>
      </c>
      <c r="CG68" s="66">
        <f t="shared" si="199"/>
        <v>139</v>
      </c>
      <c r="CH68" s="56">
        <f t="shared" si="200"/>
        <v>131.5</v>
      </c>
      <c r="CI68" s="66">
        <f t="shared" si="201"/>
        <v>140.5</v>
      </c>
      <c r="CJ68" s="56">
        <f t="shared" si="202"/>
        <v>130</v>
      </c>
      <c r="CK68" s="66">
        <f t="shared" si="203"/>
        <v>142</v>
      </c>
      <c r="CL68" s="84">
        <f t="shared" si="67"/>
        <v>138</v>
      </c>
      <c r="CM68" s="84">
        <f t="shared" si="68"/>
        <v>136</v>
      </c>
      <c r="CN68" s="84">
        <f t="shared" si="69"/>
        <v>132.2375</v>
      </c>
      <c r="CO68" s="3">
        <f t="shared" si="70"/>
        <v>-3.7657000902227753</v>
      </c>
      <c r="CP68" s="3">
        <f t="shared" si="71"/>
        <v>-0.31026589658702053</v>
      </c>
      <c r="CQ68" s="3">
        <f t="shared" si="72"/>
        <v>12.137964063203007</v>
      </c>
      <c r="CR68">
        <f t="shared" si="73"/>
        <v>0.002313527109884706</v>
      </c>
      <c r="CS68" s="3">
        <f t="shared" si="74"/>
        <v>12.138211546464106</v>
      </c>
    </row>
    <row r="69" spans="1:97" ht="12.75">
      <c r="A69" s="83">
        <v>37958</v>
      </c>
      <c r="B69" s="53">
        <v>136</v>
      </c>
      <c r="C69" s="53">
        <v>136.5</v>
      </c>
      <c r="D69" s="52">
        <v>134</v>
      </c>
      <c r="E69" s="52">
        <v>134.5</v>
      </c>
      <c r="F69" s="1">
        <v>1756395</v>
      </c>
      <c r="G69" s="4">
        <f t="shared" si="135"/>
        <v>0</v>
      </c>
      <c r="H69" s="4">
        <f t="shared" si="136"/>
        <v>539</v>
      </c>
      <c r="I69" s="4">
        <f t="shared" si="137"/>
        <v>0</v>
      </c>
      <c r="J69" s="9">
        <f t="shared" si="138"/>
        <v>136.5</v>
      </c>
      <c r="K69" s="9">
        <f t="shared" si="139"/>
        <v>134</v>
      </c>
      <c r="L69" s="6">
        <f t="shared" si="140"/>
        <v>141.54621072088725</v>
      </c>
      <c r="M69" s="6">
        <f t="shared" si="141"/>
        <v>129.04621072088725</v>
      </c>
      <c r="N69" s="13">
        <f t="shared" si="142"/>
        <v>141.75395003867538</v>
      </c>
      <c r="O69" s="13">
        <f t="shared" si="143"/>
        <v>135.3</v>
      </c>
      <c r="P69" s="13">
        <f t="shared" si="144"/>
        <v>128.8789500386754</v>
      </c>
      <c r="Q69" s="1">
        <f t="shared" si="145"/>
        <v>2.5</v>
      </c>
      <c r="R69" s="1">
        <f t="shared" si="146"/>
        <v>1</v>
      </c>
      <c r="S69" s="1">
        <f t="shared" si="147"/>
        <v>1.5</v>
      </c>
      <c r="T69" s="6">
        <f t="shared" si="148"/>
        <v>2.5</v>
      </c>
      <c r="U69" s="6">
        <f t="shared" si="149"/>
        <v>2.5</v>
      </c>
      <c r="V69" s="3">
        <f t="shared" si="150"/>
        <v>0</v>
      </c>
      <c r="W69" s="3">
        <f t="shared" si="151"/>
        <v>1</v>
      </c>
      <c r="X69" s="3">
        <f t="shared" si="152"/>
        <v>0</v>
      </c>
      <c r="Y69" s="3">
        <f t="shared" si="153"/>
        <v>1</v>
      </c>
      <c r="Z69" s="3">
        <f t="shared" si="154"/>
        <v>0</v>
      </c>
      <c r="AA69" s="3">
        <f t="shared" si="155"/>
        <v>1</v>
      </c>
      <c r="AB69" s="30">
        <f t="shared" si="156"/>
        <v>42.5</v>
      </c>
      <c r="AC69" s="6">
        <f t="shared" si="157"/>
        <v>7.5</v>
      </c>
      <c r="AD69" s="6">
        <f t="shared" si="158"/>
        <v>8.5</v>
      </c>
      <c r="AE69" s="16">
        <f t="shared" si="159"/>
        <v>18</v>
      </c>
      <c r="AF69" s="16">
        <f t="shared" si="160"/>
        <v>20</v>
      </c>
      <c r="AG69" s="1">
        <f t="shared" si="161"/>
        <v>2</v>
      </c>
      <c r="AH69" s="1">
        <f t="shared" si="162"/>
        <v>38</v>
      </c>
      <c r="AI69" s="16">
        <f t="shared" si="163"/>
        <v>5</v>
      </c>
      <c r="AJ69" s="16">
        <f t="shared" si="164"/>
        <v>12.214285714285714</v>
      </c>
      <c r="AK69" s="16">
        <f t="shared" si="165"/>
        <v>17</v>
      </c>
      <c r="AL69" s="16">
        <f t="shared" si="166"/>
        <v>722.5</v>
      </c>
      <c r="AM69" s="59">
        <f t="shared" si="167"/>
        <v>8</v>
      </c>
      <c r="AO69" s="58">
        <f>MAX($E$26:E68)-AM68</f>
        <v>129</v>
      </c>
      <c r="AQ69" s="1">
        <f t="shared" si="168"/>
        <v>135</v>
      </c>
      <c r="AR69" s="38">
        <f t="shared" si="169"/>
        <v>134.5</v>
      </c>
      <c r="AS69" s="39">
        <f t="shared" si="170"/>
        <v>137</v>
      </c>
      <c r="AT69" s="38">
        <f t="shared" si="171"/>
        <v>139.5</v>
      </c>
      <c r="AU69" s="39">
        <f t="shared" si="172"/>
        <v>132</v>
      </c>
      <c r="AV69" s="1">
        <f t="shared" si="173"/>
        <v>0</v>
      </c>
      <c r="AW69" s="1">
        <f t="shared" si="174"/>
        <v>0</v>
      </c>
      <c r="AX69" s="1">
        <f t="shared" si="175"/>
        <v>134.5</v>
      </c>
      <c r="AY69" s="1">
        <f t="shared" si="176"/>
        <v>137.5</v>
      </c>
      <c r="AZ69" s="73" t="s">
        <v>186</v>
      </c>
      <c r="BB69" s="41">
        <f t="shared" si="204"/>
        <v>131.199791702016</v>
      </c>
      <c r="BC69" s="3">
        <f>MAX($C$63:C69)</f>
        <v>138</v>
      </c>
      <c r="BD69" s="3">
        <f t="shared" si="205"/>
        <v>6.800208297984</v>
      </c>
      <c r="BE69" s="3">
        <f>MIN(IF(MAX($C$63:C69)&gt;MAX($C$63:C68),BE68+0.02,BE68),0.2)</f>
        <v>0.04</v>
      </c>
      <c r="BF69" s="3">
        <f t="shared" si="206"/>
        <v>0.27200833191935997</v>
      </c>
      <c r="BJ69" s="5">
        <f t="shared" si="177"/>
        <v>0</v>
      </c>
      <c r="BK69" s="5">
        <f t="shared" si="178"/>
        <v>1</v>
      </c>
      <c r="BL69" s="3">
        <f t="shared" si="179"/>
        <v>0.5714285714285714</v>
      </c>
      <c r="BM69" s="3">
        <f t="shared" si="180"/>
        <v>0.75</v>
      </c>
      <c r="BN69" s="30">
        <f t="shared" si="181"/>
        <v>43.24324324324324</v>
      </c>
      <c r="BO69" s="21">
        <f t="shared" si="182"/>
        <v>138.60756708170825</v>
      </c>
      <c r="BP69" s="21">
        <f t="shared" si="183"/>
        <v>135.3</v>
      </c>
      <c r="BQ69" s="21">
        <f t="shared" si="184"/>
        <v>131.99243291829177</v>
      </c>
      <c r="BR69" s="19"/>
      <c r="BS69" s="21">
        <f t="shared" si="185"/>
        <v>0.048892344149419696</v>
      </c>
      <c r="BT69" s="21">
        <f t="shared" si="186"/>
        <v>0.37906518896861807</v>
      </c>
      <c r="BU69" s="6">
        <f t="shared" si="187"/>
        <v>-1053837</v>
      </c>
      <c r="BV69" s="6">
        <f t="shared" si="188"/>
        <v>-1053837</v>
      </c>
      <c r="BW69" s="6">
        <f t="shared" si="189"/>
        <v>-1.7563970368404134</v>
      </c>
      <c r="BX69" s="25">
        <f t="shared" si="190"/>
        <v>5962.173015872998</v>
      </c>
      <c r="BY69" s="25">
        <f t="shared" si="191"/>
        <v>-36554.9170634921</v>
      </c>
      <c r="BZ69" s="26">
        <f t="shared" si="192"/>
        <v>0.18235570843717536</v>
      </c>
      <c r="CA69" s="33">
        <f t="shared" si="193"/>
        <v>0.9982437653670531</v>
      </c>
      <c r="CB69" s="27">
        <f t="shared" si="194"/>
        <v>0.9059014106190945</v>
      </c>
      <c r="CC69" s="66">
        <f t="shared" si="195"/>
        <v>136</v>
      </c>
      <c r="CD69" s="56">
        <f t="shared" si="196"/>
        <v>134.5</v>
      </c>
      <c r="CE69" s="66">
        <f t="shared" si="197"/>
        <v>137</v>
      </c>
      <c r="CF69" s="56">
        <f t="shared" si="198"/>
        <v>133.5</v>
      </c>
      <c r="CG69" s="66">
        <f t="shared" si="199"/>
        <v>138.5</v>
      </c>
      <c r="CH69" s="56">
        <f t="shared" si="200"/>
        <v>132</v>
      </c>
      <c r="CI69" s="66">
        <f t="shared" si="201"/>
        <v>140</v>
      </c>
      <c r="CJ69" s="56">
        <f t="shared" si="202"/>
        <v>131</v>
      </c>
      <c r="CK69" s="66">
        <f t="shared" si="203"/>
        <v>141</v>
      </c>
      <c r="CL69" s="84">
        <f t="shared" si="67"/>
        <v>138</v>
      </c>
      <c r="CM69" s="84">
        <f t="shared" si="68"/>
        <v>136</v>
      </c>
      <c r="CN69" s="84">
        <f t="shared" si="69"/>
        <v>132.2375</v>
      </c>
      <c r="CO69" s="3">
        <f t="shared" si="70"/>
        <v>-3.5331480539637083</v>
      </c>
      <c r="CP69" s="3">
        <f t="shared" si="71"/>
        <v>-0.37135997597434844</v>
      </c>
      <c r="CQ69" s="3">
        <f t="shared" si="72"/>
        <v>10.862306748541846</v>
      </c>
      <c r="CR69">
        <f t="shared" si="73"/>
        <v>0.004378043367160381</v>
      </c>
      <c r="CS69" s="3">
        <f t="shared" si="74"/>
        <v>10.86220241570679</v>
      </c>
    </row>
    <row r="70" spans="1:97" ht="12.75">
      <c r="A70" s="83">
        <v>37959</v>
      </c>
      <c r="B70" s="53">
        <v>135</v>
      </c>
      <c r="C70" s="52">
        <v>138</v>
      </c>
      <c r="D70" s="53">
        <v>134.5</v>
      </c>
      <c r="E70" s="52">
        <v>137</v>
      </c>
      <c r="F70" s="1">
        <v>2840158</v>
      </c>
      <c r="G70" s="4">
        <f t="shared" si="135"/>
        <v>547.5</v>
      </c>
      <c r="H70" s="4">
        <f t="shared" si="136"/>
        <v>0</v>
      </c>
      <c r="I70" s="4">
        <f t="shared" si="137"/>
        <v>0</v>
      </c>
      <c r="J70" s="9">
        <f t="shared" si="138"/>
        <v>135.5</v>
      </c>
      <c r="K70" s="9">
        <f t="shared" si="139"/>
        <v>133</v>
      </c>
      <c r="L70" s="6">
        <f t="shared" si="140"/>
        <v>145.08990825688073</v>
      </c>
      <c r="M70" s="6">
        <f t="shared" si="141"/>
        <v>127.58990825688073</v>
      </c>
      <c r="N70" s="13">
        <f t="shared" si="142"/>
        <v>141.80391680087249</v>
      </c>
      <c r="O70" s="13">
        <f t="shared" si="143"/>
        <v>135.35</v>
      </c>
      <c r="P70" s="13">
        <f t="shared" si="144"/>
        <v>128.9289168008725</v>
      </c>
      <c r="Q70" s="1">
        <f t="shared" si="145"/>
        <v>3.5</v>
      </c>
      <c r="R70" s="1">
        <f t="shared" si="146"/>
        <v>3.5</v>
      </c>
      <c r="S70" s="1">
        <f t="shared" si="147"/>
        <v>0</v>
      </c>
      <c r="T70" s="6">
        <f t="shared" si="148"/>
        <v>3.5</v>
      </c>
      <c r="U70" s="6">
        <f t="shared" si="149"/>
        <v>3.5</v>
      </c>
      <c r="V70" s="3">
        <f t="shared" si="150"/>
        <v>1.5</v>
      </c>
      <c r="W70" s="3">
        <f t="shared" si="151"/>
        <v>0</v>
      </c>
      <c r="X70" s="3">
        <f t="shared" si="152"/>
        <v>1.5</v>
      </c>
      <c r="Y70" s="3">
        <f t="shared" si="153"/>
        <v>0</v>
      </c>
      <c r="Z70" s="3">
        <f t="shared" si="154"/>
        <v>1.5</v>
      </c>
      <c r="AA70" s="3">
        <f t="shared" si="155"/>
        <v>0</v>
      </c>
      <c r="AB70" s="30">
        <f t="shared" si="156"/>
        <v>44</v>
      </c>
      <c r="AC70" s="6">
        <f t="shared" si="157"/>
        <v>9</v>
      </c>
      <c r="AD70" s="6">
        <f t="shared" si="158"/>
        <v>8.5</v>
      </c>
      <c r="AE70" s="16">
        <f t="shared" si="159"/>
        <v>20</v>
      </c>
      <c r="AF70" s="16">
        <f t="shared" si="160"/>
        <v>19</v>
      </c>
      <c r="AG70" s="1">
        <f t="shared" si="161"/>
        <v>1</v>
      </c>
      <c r="AH70" s="1">
        <f t="shared" si="162"/>
        <v>39</v>
      </c>
      <c r="AI70" s="16">
        <f t="shared" si="163"/>
        <v>3</v>
      </c>
      <c r="AJ70" s="16">
        <f t="shared" si="164"/>
        <v>10</v>
      </c>
      <c r="AK70" s="16">
        <f t="shared" si="165"/>
        <v>17</v>
      </c>
      <c r="AL70" s="16">
        <f t="shared" si="166"/>
        <v>748</v>
      </c>
      <c r="AM70" s="59">
        <f t="shared" si="167"/>
        <v>8</v>
      </c>
      <c r="AO70" s="58">
        <f>MAX($E$26:E69)-AM69</f>
        <v>130</v>
      </c>
      <c r="AQ70" s="1">
        <f t="shared" si="168"/>
        <v>136.5</v>
      </c>
      <c r="AR70" s="38">
        <f t="shared" si="169"/>
        <v>133.5</v>
      </c>
      <c r="AS70" s="39">
        <f t="shared" si="170"/>
        <v>136</v>
      </c>
      <c r="AT70" s="38">
        <f t="shared" si="171"/>
        <v>138.5</v>
      </c>
      <c r="AU70" s="39">
        <f t="shared" si="172"/>
        <v>131</v>
      </c>
      <c r="AV70" s="1">
        <f t="shared" si="173"/>
        <v>0</v>
      </c>
      <c r="AW70" s="1">
        <f t="shared" si="174"/>
        <v>0</v>
      </c>
      <c r="AX70" s="1">
        <f t="shared" si="175"/>
        <v>134</v>
      </c>
      <c r="AY70" s="1">
        <f t="shared" si="176"/>
        <v>137.5</v>
      </c>
      <c r="AZ70" s="75" t="s">
        <v>192</v>
      </c>
      <c r="BB70" s="41">
        <f t="shared" si="204"/>
        <v>131.47180003393535</v>
      </c>
      <c r="BC70" s="3">
        <f>MAX($C$63:C70)</f>
        <v>138</v>
      </c>
      <c r="BD70" s="3">
        <f t="shared" si="205"/>
        <v>6.528199966064648</v>
      </c>
      <c r="BE70" s="3">
        <f>MIN(IF(MAX($C$63:C70)&gt;MAX($C$63:C69),BE69+0.02,BE69),0.2)</f>
        <v>0.04</v>
      </c>
      <c r="BF70" s="3">
        <f t="shared" si="206"/>
        <v>0.2611279986425859</v>
      </c>
      <c r="BJ70" s="5">
        <f t="shared" si="177"/>
        <v>2.5</v>
      </c>
      <c r="BK70" s="5">
        <f t="shared" si="178"/>
        <v>0</v>
      </c>
      <c r="BL70" s="3">
        <f t="shared" si="179"/>
        <v>0.75</v>
      </c>
      <c r="BM70" s="3">
        <f t="shared" si="180"/>
        <v>0.7142857142857143</v>
      </c>
      <c r="BN70" s="30">
        <f t="shared" si="181"/>
        <v>51.21951219512195</v>
      </c>
      <c r="BO70" s="21">
        <f t="shared" si="182"/>
        <v>138.7278691508109</v>
      </c>
      <c r="BP70" s="21">
        <f t="shared" si="183"/>
        <v>135.35</v>
      </c>
      <c r="BQ70" s="21">
        <f t="shared" si="184"/>
        <v>131.97213084918909</v>
      </c>
      <c r="BR70" s="19"/>
      <c r="BS70" s="21">
        <f t="shared" si="185"/>
        <v>0.04991310160045673</v>
      </c>
      <c r="BT70" s="21">
        <f t="shared" si="186"/>
        <v>0.7442368141471521</v>
      </c>
      <c r="BU70" s="6">
        <f t="shared" si="187"/>
        <v>1217210.5714285714</v>
      </c>
      <c r="BV70" s="6">
        <f t="shared" si="188"/>
        <v>1622947.4285714284</v>
      </c>
      <c r="BW70" s="6">
        <f t="shared" si="189"/>
        <v>2.840156243602963</v>
      </c>
      <c r="BX70" s="25">
        <f t="shared" si="190"/>
        <v>92905.78526077095</v>
      </c>
      <c r="BY70" s="25">
        <f t="shared" si="191"/>
        <v>46988.55997732421</v>
      </c>
      <c r="BZ70" s="26">
        <f t="shared" si="192"/>
        <v>0.5147492537842798</v>
      </c>
      <c r="CA70" s="33">
        <f t="shared" si="193"/>
        <v>1.0049382716049382</v>
      </c>
      <c r="CB70" s="27">
        <f t="shared" si="194"/>
        <v>1.1921126129793258</v>
      </c>
      <c r="CC70" s="66">
        <f t="shared" si="195"/>
        <v>135</v>
      </c>
      <c r="CD70" s="56">
        <f t="shared" si="196"/>
        <v>133.5</v>
      </c>
      <c r="CE70" s="66">
        <f t="shared" si="197"/>
        <v>136</v>
      </c>
      <c r="CF70" s="56">
        <f t="shared" si="198"/>
        <v>132.5</v>
      </c>
      <c r="CG70" s="66">
        <f t="shared" si="199"/>
        <v>137.5</v>
      </c>
      <c r="CH70" s="56">
        <f t="shared" si="200"/>
        <v>131</v>
      </c>
      <c r="CI70" s="66">
        <f t="shared" si="201"/>
        <v>139</v>
      </c>
      <c r="CJ70" s="56">
        <f t="shared" si="202"/>
        <v>130</v>
      </c>
      <c r="CK70" s="66">
        <f t="shared" si="203"/>
        <v>140</v>
      </c>
      <c r="CL70" s="84">
        <f t="shared" si="67"/>
        <v>138</v>
      </c>
      <c r="CM70" s="84">
        <f t="shared" si="68"/>
        <v>136</v>
      </c>
      <c r="CN70" s="84">
        <f t="shared" si="69"/>
        <v>132.2375</v>
      </c>
      <c r="CO70" s="3">
        <f t="shared" si="70"/>
        <v>-3.661455142484565</v>
      </c>
      <c r="CP70" s="3">
        <f t="shared" si="71"/>
        <v>-0.39349836181181214</v>
      </c>
      <c r="CQ70" s="3">
        <f t="shared" si="72"/>
        <v>11.68801466951749</v>
      </c>
      <c r="CR70">
        <f t="shared" si="73"/>
        <v>0.002897209244765774</v>
      </c>
      <c r="CS70" s="3">
        <f t="shared" si="74"/>
        <v>11.687829372343405</v>
      </c>
    </row>
    <row r="71" spans="1:97" ht="12.75">
      <c r="A71" s="83">
        <v>37960</v>
      </c>
      <c r="B71" s="53">
        <v>136</v>
      </c>
      <c r="C71" s="53">
        <v>136.5</v>
      </c>
      <c r="D71" s="52">
        <v>133</v>
      </c>
      <c r="E71" s="52">
        <v>134</v>
      </c>
      <c r="F71" s="1">
        <v>2368970</v>
      </c>
      <c r="G71" s="4">
        <f t="shared" si="135"/>
        <v>0</v>
      </c>
      <c r="H71" s="4">
        <f t="shared" si="136"/>
        <v>536.5</v>
      </c>
      <c r="I71" s="4">
        <f t="shared" si="137"/>
        <v>0</v>
      </c>
      <c r="J71" s="9">
        <f t="shared" si="138"/>
        <v>139.25</v>
      </c>
      <c r="K71" s="9">
        <f t="shared" si="139"/>
        <v>135.75</v>
      </c>
      <c r="L71" s="6">
        <f t="shared" si="140"/>
        <v>143.5909090909091</v>
      </c>
      <c r="M71" s="6">
        <f t="shared" si="141"/>
        <v>126.0909090909091</v>
      </c>
      <c r="N71" s="13">
        <f t="shared" si="142"/>
        <v>141.68021315794505</v>
      </c>
      <c r="O71" s="13">
        <f t="shared" si="143"/>
        <v>135.15</v>
      </c>
      <c r="P71" s="13">
        <f t="shared" si="144"/>
        <v>128.68021315794505</v>
      </c>
      <c r="Q71" s="1">
        <f t="shared" si="145"/>
        <v>3.5</v>
      </c>
      <c r="R71" s="1">
        <f t="shared" si="146"/>
        <v>0.5</v>
      </c>
      <c r="S71" s="1">
        <f t="shared" si="147"/>
        <v>4</v>
      </c>
      <c r="T71" s="6">
        <f t="shared" si="148"/>
        <v>3.5</v>
      </c>
      <c r="U71" s="6">
        <f t="shared" si="149"/>
        <v>4</v>
      </c>
      <c r="V71" s="3">
        <f t="shared" si="150"/>
        <v>0</v>
      </c>
      <c r="W71" s="3">
        <f t="shared" si="151"/>
        <v>1.5</v>
      </c>
      <c r="X71" s="3">
        <f t="shared" si="152"/>
        <v>0</v>
      </c>
      <c r="Y71" s="3">
        <f t="shared" si="153"/>
        <v>1.5</v>
      </c>
      <c r="Z71" s="3">
        <f t="shared" si="154"/>
        <v>0</v>
      </c>
      <c r="AA71" s="3">
        <f t="shared" si="155"/>
        <v>1.5</v>
      </c>
      <c r="AB71" s="30">
        <f t="shared" si="156"/>
        <v>43.5</v>
      </c>
      <c r="AC71" s="6">
        <f t="shared" si="157"/>
        <v>9</v>
      </c>
      <c r="AD71" s="6">
        <f t="shared" si="158"/>
        <v>6.5</v>
      </c>
      <c r="AE71" s="16">
        <f t="shared" si="159"/>
        <v>21</v>
      </c>
      <c r="AF71" s="16">
        <f t="shared" si="160"/>
        <v>14</v>
      </c>
      <c r="AG71" s="1">
        <f t="shared" si="161"/>
        <v>7</v>
      </c>
      <c r="AH71" s="1">
        <f t="shared" si="162"/>
        <v>35</v>
      </c>
      <c r="AI71" s="16">
        <f t="shared" si="163"/>
        <v>20</v>
      </c>
      <c r="AJ71" s="16">
        <f t="shared" si="164"/>
        <v>10.5</v>
      </c>
      <c r="AK71" s="16">
        <f t="shared" si="165"/>
        <v>17</v>
      </c>
      <c r="AL71" s="16">
        <f t="shared" si="166"/>
        <v>739.5</v>
      </c>
      <c r="AM71" s="59">
        <f t="shared" si="167"/>
        <v>8</v>
      </c>
      <c r="AO71" s="58">
        <f>MAX($E$26:E70)-AM70</f>
        <v>130</v>
      </c>
      <c r="AQ71" s="1">
        <f t="shared" si="168"/>
        <v>134.5</v>
      </c>
      <c r="AR71" s="38">
        <f t="shared" si="169"/>
        <v>135</v>
      </c>
      <c r="AS71" s="39">
        <f t="shared" si="170"/>
        <v>138.5</v>
      </c>
      <c r="AT71" s="38">
        <f t="shared" si="171"/>
        <v>142</v>
      </c>
      <c r="AU71" s="39">
        <f t="shared" si="172"/>
        <v>131.5</v>
      </c>
      <c r="AV71" s="1">
        <f t="shared" si="173"/>
        <v>0</v>
      </c>
      <c r="AW71" s="1">
        <f t="shared" si="174"/>
        <v>0</v>
      </c>
      <c r="AX71" s="1">
        <f t="shared" si="175"/>
        <v>134</v>
      </c>
      <c r="AY71" s="1">
        <f t="shared" si="176"/>
        <v>138</v>
      </c>
      <c r="AZ71" s="78" t="s">
        <v>219</v>
      </c>
      <c r="BA71" s="68" t="s">
        <v>193</v>
      </c>
      <c r="BB71" s="41">
        <f t="shared" si="204"/>
        <v>131.73292803257795</v>
      </c>
      <c r="BC71" s="3">
        <f>MAX($C$63:C71)</f>
        <v>138</v>
      </c>
      <c r="BD71" s="3">
        <f t="shared" si="205"/>
        <v>6.267071967422055</v>
      </c>
      <c r="BE71" s="3">
        <f>MIN(IF(MAX($C$63:C71)&gt;MAX($C$63:C70),BE70+0.02,BE70),0.2)</f>
        <v>0.04</v>
      </c>
      <c r="BF71" s="3">
        <f t="shared" si="206"/>
        <v>0.2506828786968822</v>
      </c>
      <c r="BG71" s="82"/>
      <c r="BJ71" s="5">
        <f t="shared" si="177"/>
        <v>0</v>
      </c>
      <c r="BK71" s="5">
        <f t="shared" si="178"/>
        <v>3</v>
      </c>
      <c r="BL71" s="3">
        <f t="shared" si="179"/>
        <v>0.75</v>
      </c>
      <c r="BM71" s="3">
        <f t="shared" si="180"/>
        <v>0.6428571428571429</v>
      </c>
      <c r="BN71" s="30">
        <f t="shared" si="181"/>
        <v>53.84615384615384</v>
      </c>
      <c r="BO71" s="21">
        <f t="shared" si="182"/>
        <v>138.3453090617341</v>
      </c>
      <c r="BP71" s="21">
        <f t="shared" si="183"/>
        <v>135.15</v>
      </c>
      <c r="BQ71" s="21">
        <f t="shared" si="184"/>
        <v>131.9546909382659</v>
      </c>
      <c r="BR71" s="19"/>
      <c r="BS71" s="21">
        <f t="shared" si="185"/>
        <v>0.04728537272266509</v>
      </c>
      <c r="BT71" s="21">
        <f t="shared" si="186"/>
        <v>0.32004870612173253</v>
      </c>
      <c r="BU71" s="6">
        <f t="shared" si="187"/>
        <v>-1015272.857142857</v>
      </c>
      <c r="BV71" s="6">
        <f t="shared" si="188"/>
        <v>-1353697.1428571427</v>
      </c>
      <c r="BW71" s="6">
        <f t="shared" si="189"/>
        <v>-2.3689671598437565</v>
      </c>
      <c r="BX71" s="25">
        <f t="shared" si="190"/>
        <v>98543.88117913833</v>
      </c>
      <c r="BY71" s="25">
        <f t="shared" si="191"/>
        <v>54506.02120181406</v>
      </c>
      <c r="BZ71" s="26">
        <f t="shared" si="192"/>
        <v>0.47580008617782527</v>
      </c>
      <c r="CA71" s="33">
        <f t="shared" si="193"/>
        <v>1.004423213021939</v>
      </c>
      <c r="CB71" s="27">
        <f t="shared" si="194"/>
        <v>1.2711138101731263</v>
      </c>
      <c r="CC71" s="66">
        <f t="shared" si="195"/>
        <v>136.5</v>
      </c>
      <c r="CD71" s="56">
        <f t="shared" si="196"/>
        <v>135</v>
      </c>
      <c r="CE71" s="66">
        <f t="shared" si="197"/>
        <v>138.5</v>
      </c>
      <c r="CF71" s="56">
        <f t="shared" si="198"/>
        <v>133</v>
      </c>
      <c r="CG71" s="66">
        <f t="shared" si="199"/>
        <v>140</v>
      </c>
      <c r="CH71" s="56">
        <f t="shared" si="200"/>
        <v>131.5</v>
      </c>
      <c r="CI71" s="66">
        <f t="shared" si="201"/>
        <v>141.5</v>
      </c>
      <c r="CJ71" s="56">
        <f t="shared" si="202"/>
        <v>129.5</v>
      </c>
      <c r="CK71" s="66">
        <f t="shared" si="203"/>
        <v>143.5</v>
      </c>
      <c r="CL71" s="84">
        <f t="shared" si="67"/>
        <v>137.525</v>
      </c>
      <c r="CM71" s="84">
        <f t="shared" si="68"/>
        <v>135.75</v>
      </c>
      <c r="CN71" s="84">
        <f t="shared" si="69"/>
        <v>132.2375</v>
      </c>
      <c r="CO71" s="3">
        <f t="shared" si="70"/>
        <v>-3.7308699710865203</v>
      </c>
      <c r="CP71" s="3">
        <f t="shared" si="71"/>
        <v>-0.33580681121654266</v>
      </c>
      <c r="CQ71" s="3">
        <f t="shared" si="72"/>
        <v>11.975379665827354</v>
      </c>
      <c r="CR71">
        <f t="shared" si="73"/>
        <v>0.0025094546186056263</v>
      </c>
      <c r="CS71" s="3">
        <f t="shared" si="74"/>
        <v>11.975262370854692</v>
      </c>
    </row>
    <row r="72" spans="1:97" ht="12.75">
      <c r="A72" s="83">
        <v>37963</v>
      </c>
      <c r="B72" s="53">
        <v>132.5</v>
      </c>
      <c r="C72" s="53">
        <v>133</v>
      </c>
      <c r="D72" s="52">
        <v>130.5</v>
      </c>
      <c r="E72" s="52">
        <v>130.5</v>
      </c>
      <c r="F72" s="1">
        <v>2231933</v>
      </c>
      <c r="G72" s="4">
        <f t="shared" si="135"/>
        <v>0</v>
      </c>
      <c r="H72" s="4">
        <f t="shared" si="136"/>
        <v>524.5</v>
      </c>
      <c r="I72" s="4">
        <f t="shared" si="137"/>
        <v>0</v>
      </c>
      <c r="J72" s="9">
        <f t="shared" si="138"/>
        <v>135.25</v>
      </c>
      <c r="K72" s="9">
        <f t="shared" si="139"/>
        <v>131.75</v>
      </c>
      <c r="L72" s="6">
        <f t="shared" si="140"/>
        <v>138.04743833017076</v>
      </c>
      <c r="M72" s="6">
        <f t="shared" si="141"/>
        <v>125.54743833017078</v>
      </c>
      <c r="N72" s="13">
        <f t="shared" si="142"/>
        <v>141.60675634517182</v>
      </c>
      <c r="O72" s="13">
        <f t="shared" si="143"/>
        <v>134.925</v>
      </c>
      <c r="P72" s="13">
        <f t="shared" si="144"/>
        <v>128.35675634517182</v>
      </c>
      <c r="Q72" s="1">
        <f t="shared" si="145"/>
        <v>2.5</v>
      </c>
      <c r="R72" s="1">
        <f t="shared" si="146"/>
        <v>1</v>
      </c>
      <c r="S72" s="1">
        <f t="shared" si="147"/>
        <v>3.5</v>
      </c>
      <c r="T72" s="6">
        <f t="shared" si="148"/>
        <v>2.5</v>
      </c>
      <c r="U72" s="6">
        <f t="shared" si="149"/>
        <v>3.5</v>
      </c>
      <c r="V72" s="3">
        <f t="shared" si="150"/>
        <v>0</v>
      </c>
      <c r="W72" s="3">
        <f t="shared" si="151"/>
        <v>2.5</v>
      </c>
      <c r="X72" s="3">
        <f t="shared" si="152"/>
        <v>0</v>
      </c>
      <c r="Y72" s="3">
        <f t="shared" si="153"/>
        <v>2.5</v>
      </c>
      <c r="Z72" s="3">
        <f t="shared" si="154"/>
        <v>0</v>
      </c>
      <c r="AA72" s="3">
        <f t="shared" si="155"/>
        <v>2.5</v>
      </c>
      <c r="AB72" s="30">
        <f t="shared" si="156"/>
        <v>44</v>
      </c>
      <c r="AC72" s="6">
        <f t="shared" si="157"/>
        <v>8</v>
      </c>
      <c r="AD72" s="6">
        <f t="shared" si="158"/>
        <v>9</v>
      </c>
      <c r="AE72" s="16">
        <f t="shared" si="159"/>
        <v>18</v>
      </c>
      <c r="AF72" s="16">
        <f t="shared" si="160"/>
        <v>20</v>
      </c>
      <c r="AG72" s="1">
        <f t="shared" si="161"/>
        <v>2</v>
      </c>
      <c r="AH72" s="1">
        <f t="shared" si="162"/>
        <v>38</v>
      </c>
      <c r="AI72" s="16">
        <f t="shared" si="163"/>
        <v>5</v>
      </c>
      <c r="AJ72" s="16">
        <f t="shared" si="164"/>
        <v>10.214285714285714</v>
      </c>
      <c r="AK72" s="16">
        <f t="shared" si="165"/>
        <v>16</v>
      </c>
      <c r="AL72" s="16">
        <f t="shared" si="166"/>
        <v>704</v>
      </c>
      <c r="AM72" s="59">
        <f t="shared" si="167"/>
        <v>9</v>
      </c>
      <c r="AO72" s="58">
        <f>MAX($E$26:E71)-AM71</f>
        <v>130</v>
      </c>
      <c r="AQ72" s="1">
        <f t="shared" si="168"/>
        <v>131.3</v>
      </c>
      <c r="AR72" s="38">
        <f t="shared" si="169"/>
        <v>132.5</v>
      </c>
      <c r="AS72" s="39">
        <f t="shared" si="170"/>
        <v>136</v>
      </c>
      <c r="AT72" s="38">
        <f t="shared" si="171"/>
        <v>139.5</v>
      </c>
      <c r="AU72" s="39">
        <f t="shared" si="172"/>
        <v>129</v>
      </c>
      <c r="AV72" s="1">
        <f t="shared" si="173"/>
        <v>0</v>
      </c>
      <c r="AW72" s="1">
        <f t="shared" si="174"/>
        <v>0</v>
      </c>
      <c r="AX72" s="1">
        <f t="shared" si="175"/>
        <v>133</v>
      </c>
      <c r="AY72" s="1">
        <f t="shared" si="176"/>
        <v>138</v>
      </c>
      <c r="AZ72" s="73" t="s">
        <v>186</v>
      </c>
      <c r="BB72" s="41">
        <f t="shared" si="204"/>
        <v>131.98361091127484</v>
      </c>
      <c r="BC72" s="3">
        <f>MAX($C$63:C72)</f>
        <v>138</v>
      </c>
      <c r="BD72" s="3">
        <f t="shared" si="205"/>
        <v>6.0163890887251625</v>
      </c>
      <c r="BE72" s="3">
        <f>MIN(IF(MAX($C$63:C72)&gt;MAX($C$63:C71),BE71+0.02,BE71),0.2)</f>
        <v>0.04</v>
      </c>
      <c r="BF72" s="3">
        <f t="shared" si="206"/>
        <v>0.2406555635490065</v>
      </c>
      <c r="BH72" s="1">
        <v>132</v>
      </c>
      <c r="BI72" s="1">
        <v>-4</v>
      </c>
      <c r="BJ72" s="5">
        <f t="shared" si="177"/>
        <v>0</v>
      </c>
      <c r="BK72" s="5">
        <f t="shared" si="178"/>
        <v>3.5</v>
      </c>
      <c r="BL72" s="3">
        <f t="shared" si="179"/>
        <v>0.6428571428571429</v>
      </c>
      <c r="BM72" s="3">
        <f t="shared" si="180"/>
        <v>0.8928571428571429</v>
      </c>
      <c r="BN72" s="30">
        <f t="shared" si="181"/>
        <v>41.860465116279066</v>
      </c>
      <c r="BO72" s="21">
        <f t="shared" si="182"/>
        <v>138.71016842425803</v>
      </c>
      <c r="BP72" s="21">
        <f t="shared" si="183"/>
        <v>134.925</v>
      </c>
      <c r="BQ72" s="21">
        <f t="shared" si="184"/>
        <v>131.139831575742</v>
      </c>
      <c r="BR72" s="19"/>
      <c r="BS72" s="21">
        <f t="shared" si="185"/>
        <v>0.05610774021505306</v>
      </c>
      <c r="BT72" s="21">
        <f t="shared" si="186"/>
        <v>-0.0845182438437222</v>
      </c>
      <c r="BU72" s="6">
        <f t="shared" si="187"/>
        <v>-2231933</v>
      </c>
      <c r="BV72" s="6">
        <f t="shared" si="188"/>
        <v>-1785546.4000000001</v>
      </c>
      <c r="BW72" s="6">
        <f t="shared" si="189"/>
        <v>-2.2319353689671595</v>
      </c>
      <c r="BX72" s="25">
        <f t="shared" si="190"/>
        <v>-31279.70453514739</v>
      </c>
      <c r="BY72" s="25">
        <f t="shared" si="191"/>
        <v>-73033.00736961453</v>
      </c>
      <c r="BZ72" s="26">
        <f t="shared" si="192"/>
        <v>0.16837526151437193</v>
      </c>
      <c r="CA72" s="33">
        <f t="shared" si="193"/>
        <v>0.995572086432873</v>
      </c>
      <c r="CB72" s="27">
        <f t="shared" si="194"/>
        <v>1.1446160295956203</v>
      </c>
      <c r="CC72" s="66">
        <f t="shared" si="195"/>
        <v>134.5</v>
      </c>
      <c r="CD72" s="56">
        <f t="shared" si="196"/>
        <v>132.5</v>
      </c>
      <c r="CE72" s="66">
        <f t="shared" si="197"/>
        <v>136</v>
      </c>
      <c r="CF72" s="56">
        <f t="shared" si="198"/>
        <v>131</v>
      </c>
      <c r="CG72" s="66">
        <f t="shared" si="199"/>
        <v>138</v>
      </c>
      <c r="CH72" s="56">
        <f t="shared" si="200"/>
        <v>129</v>
      </c>
      <c r="CI72" s="66">
        <f t="shared" si="201"/>
        <v>140</v>
      </c>
      <c r="CJ72" s="56">
        <f t="shared" si="202"/>
        <v>127.5</v>
      </c>
      <c r="CK72" s="66">
        <f t="shared" si="203"/>
        <v>141.5</v>
      </c>
      <c r="CL72" s="84">
        <f t="shared" si="67"/>
        <v>137.525</v>
      </c>
      <c r="CM72" s="84">
        <f t="shared" si="68"/>
        <v>135.75</v>
      </c>
      <c r="CN72" s="84">
        <f t="shared" si="69"/>
        <v>131.2125</v>
      </c>
      <c r="CO72" s="3">
        <f t="shared" si="70"/>
        <v>-3.2013927229126775</v>
      </c>
      <c r="CP72" s="3">
        <f t="shared" si="71"/>
        <v>-0.6170375666577733</v>
      </c>
      <c r="CQ72" s="3">
        <f t="shared" si="72"/>
        <v>9.80988066748836</v>
      </c>
      <c r="CR72">
        <f t="shared" si="73"/>
        <v>0.007409885190139568</v>
      </c>
      <c r="CS72" s="3">
        <f t="shared" si="74"/>
        <v>9.80984437179977</v>
      </c>
    </row>
    <row r="73" spans="1:97" ht="12.75">
      <c r="A73" s="83">
        <v>37964</v>
      </c>
      <c r="B73" s="53">
        <v>132</v>
      </c>
      <c r="C73" s="53">
        <v>132</v>
      </c>
      <c r="D73" s="52">
        <v>129</v>
      </c>
      <c r="E73" s="58">
        <v>129</v>
      </c>
      <c r="F73" s="1">
        <v>2278169</v>
      </c>
      <c r="G73" s="4">
        <f t="shared" si="135"/>
        <v>0</v>
      </c>
      <c r="H73" s="4">
        <f t="shared" si="136"/>
        <v>519</v>
      </c>
      <c r="I73" s="4">
        <f t="shared" si="137"/>
        <v>0</v>
      </c>
      <c r="J73" s="9">
        <f t="shared" si="138"/>
        <v>131.75</v>
      </c>
      <c r="K73" s="9">
        <f t="shared" si="139"/>
        <v>129.25</v>
      </c>
      <c r="L73" s="6">
        <f t="shared" si="140"/>
        <v>138.06896551724137</v>
      </c>
      <c r="M73" s="6">
        <f t="shared" si="141"/>
        <v>123.06896551724138</v>
      </c>
      <c r="N73" s="13">
        <f t="shared" si="142"/>
        <v>141.58370649369306</v>
      </c>
      <c r="O73" s="13">
        <f t="shared" si="143"/>
        <v>134.675</v>
      </c>
      <c r="P73" s="13">
        <f t="shared" si="144"/>
        <v>128.08370649369306</v>
      </c>
      <c r="Q73" s="1">
        <f t="shared" si="145"/>
        <v>3</v>
      </c>
      <c r="R73" s="1">
        <f t="shared" si="146"/>
        <v>1.5</v>
      </c>
      <c r="S73" s="1">
        <f t="shared" si="147"/>
        <v>1.5</v>
      </c>
      <c r="T73" s="6">
        <f t="shared" si="148"/>
        <v>3</v>
      </c>
      <c r="U73" s="6">
        <f t="shared" si="149"/>
        <v>3</v>
      </c>
      <c r="V73" s="3">
        <f t="shared" si="150"/>
        <v>0</v>
      </c>
      <c r="W73" s="3">
        <f t="shared" si="151"/>
        <v>1.5</v>
      </c>
      <c r="X73" s="3">
        <f t="shared" si="152"/>
        <v>0</v>
      </c>
      <c r="Y73" s="3">
        <f t="shared" si="153"/>
        <v>1.5</v>
      </c>
      <c r="Z73" s="3">
        <f t="shared" si="154"/>
        <v>0</v>
      </c>
      <c r="AA73" s="3">
        <f t="shared" si="155"/>
        <v>1.5</v>
      </c>
      <c r="AB73" s="30">
        <f t="shared" si="156"/>
        <v>43.5</v>
      </c>
      <c r="AC73" s="6">
        <f t="shared" si="157"/>
        <v>8</v>
      </c>
      <c r="AD73" s="6">
        <f t="shared" si="158"/>
        <v>8</v>
      </c>
      <c r="AE73" s="16">
        <f t="shared" si="159"/>
        <v>18</v>
      </c>
      <c r="AF73" s="16">
        <f t="shared" si="160"/>
        <v>18</v>
      </c>
      <c r="AG73" s="1">
        <f t="shared" si="161"/>
        <v>0</v>
      </c>
      <c r="AH73" s="1">
        <f t="shared" si="162"/>
        <v>36</v>
      </c>
      <c r="AI73" s="16">
        <f t="shared" si="163"/>
        <v>0</v>
      </c>
      <c r="AJ73" s="16">
        <f t="shared" si="164"/>
        <v>9.857142857142858</v>
      </c>
      <c r="AK73" s="16">
        <f t="shared" si="165"/>
        <v>15</v>
      </c>
      <c r="AL73" s="16">
        <f t="shared" si="166"/>
        <v>652.5</v>
      </c>
      <c r="AM73" s="59">
        <f t="shared" si="167"/>
        <v>9</v>
      </c>
      <c r="AO73" s="58">
        <f>MAX($E$26:E72)-AM72</f>
        <v>129</v>
      </c>
      <c r="AP73" s="39" t="s">
        <v>223</v>
      </c>
      <c r="AQ73" s="1">
        <f t="shared" si="168"/>
        <v>130</v>
      </c>
      <c r="AR73" s="38">
        <f t="shared" si="169"/>
        <v>129.6</v>
      </c>
      <c r="AS73" s="39">
        <f t="shared" si="170"/>
        <v>132.1</v>
      </c>
      <c r="AT73" s="38">
        <f t="shared" si="171"/>
        <v>134.6</v>
      </c>
      <c r="AU73" s="39">
        <f t="shared" si="172"/>
        <v>127.1</v>
      </c>
      <c r="AV73" s="1">
        <f t="shared" si="173"/>
        <v>0</v>
      </c>
      <c r="AW73" s="1">
        <f t="shared" si="174"/>
        <v>0</v>
      </c>
      <c r="AX73" s="1">
        <f t="shared" si="175"/>
        <v>130.5</v>
      </c>
      <c r="AY73" s="1">
        <f t="shared" si="176"/>
        <v>136.5</v>
      </c>
      <c r="AZ73" s="75" t="s">
        <v>220</v>
      </c>
      <c r="BA73" s="68" t="s">
        <v>187</v>
      </c>
      <c r="BB73" s="37">
        <f>MAX($C$63:C72)</f>
        <v>138</v>
      </c>
      <c r="BC73" s="3">
        <f>D73</f>
        <v>129</v>
      </c>
      <c r="BD73" s="3">
        <f aca="true" t="shared" si="207" ref="BD73:BD79">BB73-BC73</f>
        <v>9</v>
      </c>
      <c r="BE73" s="12">
        <v>0.02</v>
      </c>
      <c r="BF73" s="3">
        <f t="shared" si="206"/>
        <v>0.18</v>
      </c>
      <c r="BG73" s="12">
        <v>129</v>
      </c>
      <c r="BJ73" s="5">
        <f t="shared" si="177"/>
        <v>0</v>
      </c>
      <c r="BK73" s="5">
        <f t="shared" si="178"/>
        <v>1.5</v>
      </c>
      <c r="BL73" s="3">
        <f t="shared" si="179"/>
        <v>0.6428571428571429</v>
      </c>
      <c r="BM73" s="3">
        <f t="shared" si="180"/>
        <v>0.8571428571428571</v>
      </c>
      <c r="BN73" s="30">
        <f t="shared" si="181"/>
        <v>42.857142857142854</v>
      </c>
      <c r="BO73" s="21">
        <f t="shared" si="182"/>
        <v>139.24965845719657</v>
      </c>
      <c r="BP73" s="21">
        <f t="shared" si="183"/>
        <v>134.675</v>
      </c>
      <c r="BQ73" s="21">
        <f t="shared" si="184"/>
        <v>130.10034154280345</v>
      </c>
      <c r="BR73" s="19"/>
      <c r="BS73" s="21">
        <f t="shared" si="185"/>
        <v>0.06793626815959254</v>
      </c>
      <c r="BT73" s="21">
        <f t="shared" si="186"/>
        <v>-0.12026488459181703</v>
      </c>
      <c r="BU73" s="6">
        <f t="shared" si="187"/>
        <v>-2278169</v>
      </c>
      <c r="BV73" s="6">
        <f t="shared" si="188"/>
        <v>-2278169</v>
      </c>
      <c r="BW73" s="6">
        <f t="shared" si="189"/>
        <v>-2.2781712319353686</v>
      </c>
      <c r="BX73" s="25">
        <f t="shared" si="190"/>
        <v>-261360.56167800454</v>
      </c>
      <c r="BY73" s="25">
        <f t="shared" si="191"/>
        <v>-235759.3645124717</v>
      </c>
      <c r="BZ73" s="26">
        <f t="shared" si="192"/>
        <v>0.14035759694669017</v>
      </c>
      <c r="CA73" s="33">
        <f t="shared" si="193"/>
        <v>0.9783342212750842</v>
      </c>
      <c r="CB73" s="27">
        <f t="shared" si="194"/>
        <v>1.037670718352053</v>
      </c>
      <c r="CC73" s="66">
        <f t="shared" si="195"/>
        <v>131.33333333333334</v>
      </c>
      <c r="CD73" s="56">
        <f t="shared" si="196"/>
        <v>129.66666666666669</v>
      </c>
      <c r="CE73" s="66">
        <f t="shared" si="197"/>
        <v>132.16666666666669</v>
      </c>
      <c r="CF73" s="56">
        <f t="shared" si="198"/>
        <v>128.83333333333331</v>
      </c>
      <c r="CG73" s="66">
        <f t="shared" si="199"/>
        <v>133.83333333333334</v>
      </c>
      <c r="CH73" s="56">
        <f t="shared" si="200"/>
        <v>127.16666666666666</v>
      </c>
      <c r="CI73" s="66">
        <f t="shared" si="201"/>
        <v>135.5</v>
      </c>
      <c r="CJ73" s="56">
        <f t="shared" si="202"/>
        <v>126.33333333333331</v>
      </c>
      <c r="CK73" s="66">
        <f t="shared" si="203"/>
        <v>136.33333333333337</v>
      </c>
      <c r="CL73" s="84">
        <f t="shared" si="67"/>
        <v>137.525</v>
      </c>
      <c r="CM73" s="84">
        <f t="shared" si="68"/>
        <v>135.75</v>
      </c>
      <c r="CN73" s="84">
        <f t="shared" si="69"/>
        <v>129.7125</v>
      </c>
      <c r="CO73" s="3">
        <f t="shared" si="70"/>
        <v>-2.6246346040445956</v>
      </c>
      <c r="CP73" s="3">
        <f t="shared" si="71"/>
        <v>-0.930609770454304</v>
      </c>
      <c r="CQ73" s="3">
        <f t="shared" si="72"/>
        <v>8.627370820173653</v>
      </c>
      <c r="CR73">
        <f t="shared" si="73"/>
        <v>0.013384132572556095</v>
      </c>
      <c r="CS73" s="3">
        <f t="shared" si="74"/>
        <v>8.627345329546149</v>
      </c>
    </row>
    <row r="74" spans="1:97" ht="12.75">
      <c r="A74" s="83">
        <v>37965</v>
      </c>
      <c r="B74" s="53">
        <v>128.5</v>
      </c>
      <c r="C74" s="53">
        <v>129</v>
      </c>
      <c r="D74" s="52">
        <v>127</v>
      </c>
      <c r="E74" s="52">
        <v>129</v>
      </c>
      <c r="F74" s="1">
        <v>2038116</v>
      </c>
      <c r="G74" s="4">
        <f t="shared" si="135"/>
        <v>514</v>
      </c>
      <c r="H74" s="4">
        <f t="shared" si="136"/>
        <v>0</v>
      </c>
      <c r="I74" s="4">
        <f t="shared" si="137"/>
        <v>0</v>
      </c>
      <c r="J74" s="9">
        <f t="shared" si="138"/>
        <v>130.5</v>
      </c>
      <c r="K74" s="9">
        <f t="shared" si="139"/>
        <v>127.5</v>
      </c>
      <c r="L74" s="6">
        <f t="shared" si="140"/>
        <v>133.03125</v>
      </c>
      <c r="M74" s="6">
        <f t="shared" si="141"/>
        <v>123.03125</v>
      </c>
      <c r="N74" s="13">
        <f t="shared" si="142"/>
        <v>141.2844372007171</v>
      </c>
      <c r="O74" s="13">
        <f t="shared" si="143"/>
        <v>134.325</v>
      </c>
      <c r="P74" s="13">
        <f t="shared" si="144"/>
        <v>127.6594372007171</v>
      </c>
      <c r="Q74" s="1">
        <f t="shared" si="145"/>
        <v>2</v>
      </c>
      <c r="R74" s="1">
        <f t="shared" si="146"/>
        <v>0</v>
      </c>
      <c r="S74" s="1">
        <f t="shared" si="147"/>
        <v>2</v>
      </c>
      <c r="T74" s="6">
        <f t="shared" si="148"/>
        <v>2</v>
      </c>
      <c r="U74" s="6">
        <f t="shared" si="149"/>
        <v>2</v>
      </c>
      <c r="V74" s="3">
        <f t="shared" si="150"/>
        <v>0</v>
      </c>
      <c r="W74" s="3">
        <f t="shared" si="151"/>
        <v>2</v>
      </c>
      <c r="X74" s="3">
        <f t="shared" si="152"/>
        <v>0</v>
      </c>
      <c r="Y74" s="3">
        <f t="shared" si="153"/>
        <v>2</v>
      </c>
      <c r="Z74" s="3">
        <f t="shared" si="154"/>
        <v>0</v>
      </c>
      <c r="AA74" s="3">
        <f t="shared" si="155"/>
        <v>2</v>
      </c>
      <c r="AB74" s="30">
        <f t="shared" si="156"/>
        <v>41</v>
      </c>
      <c r="AC74" s="6">
        <f t="shared" si="157"/>
        <v>6.5</v>
      </c>
      <c r="AD74" s="6">
        <f t="shared" si="158"/>
        <v>10</v>
      </c>
      <c r="AE74" s="16">
        <f t="shared" si="159"/>
        <v>16</v>
      </c>
      <c r="AF74" s="16">
        <f t="shared" si="160"/>
        <v>24</v>
      </c>
      <c r="AG74" s="1">
        <f t="shared" si="161"/>
        <v>8</v>
      </c>
      <c r="AH74" s="1">
        <f t="shared" si="162"/>
        <v>40</v>
      </c>
      <c r="AI74" s="16">
        <f t="shared" si="163"/>
        <v>20</v>
      </c>
      <c r="AJ74" s="16">
        <f t="shared" si="164"/>
        <v>10.571428571428571</v>
      </c>
      <c r="AK74" s="16">
        <f t="shared" si="165"/>
        <v>14</v>
      </c>
      <c r="AL74" s="16">
        <f t="shared" si="166"/>
        <v>574</v>
      </c>
      <c r="AM74" s="59">
        <f t="shared" si="167"/>
        <v>9</v>
      </c>
      <c r="AN74" s="58">
        <f>MIN($E$73:E73)+AM73</f>
        <v>138</v>
      </c>
      <c r="AQ74" s="1">
        <f t="shared" si="168"/>
        <v>128.3</v>
      </c>
      <c r="AR74" s="38">
        <f t="shared" si="169"/>
        <v>128</v>
      </c>
      <c r="AS74" s="39">
        <f t="shared" si="170"/>
        <v>131</v>
      </c>
      <c r="AT74" s="38">
        <f t="shared" si="171"/>
        <v>134</v>
      </c>
      <c r="AU74" s="39">
        <f t="shared" si="172"/>
        <v>125</v>
      </c>
      <c r="AV74" s="1">
        <f t="shared" si="173"/>
        <v>0</v>
      </c>
      <c r="AW74" s="1">
        <f t="shared" si="174"/>
        <v>0</v>
      </c>
      <c r="AX74" s="1">
        <f t="shared" si="175"/>
        <v>129</v>
      </c>
      <c r="AY74" s="1">
        <f t="shared" si="176"/>
        <v>133</v>
      </c>
      <c r="AZ74" s="78" t="s">
        <v>221</v>
      </c>
      <c r="BA74" s="68" t="s">
        <v>194</v>
      </c>
      <c r="BB74" s="41">
        <f aca="true" t="shared" si="208" ref="BB74:BB79">IF(BB73-BF73&lt;MAX(C73,C72),MAX(C73,C72),BB73-BF73)</f>
        <v>137.82</v>
      </c>
      <c r="BC74" s="3">
        <f>MIN($D$73:D74)</f>
        <v>127</v>
      </c>
      <c r="BD74" s="3">
        <f t="shared" si="207"/>
        <v>10.819999999999993</v>
      </c>
      <c r="BE74" s="3">
        <f>MIN(IF(MIN($D$73:D74)&lt;MIN($D$73:D73),BE73+0.02,BE73),0.2)</f>
        <v>0.04</v>
      </c>
      <c r="BF74" s="3">
        <f t="shared" si="206"/>
        <v>0.43279999999999974</v>
      </c>
      <c r="BJ74" s="5">
        <f t="shared" si="177"/>
        <v>0</v>
      </c>
      <c r="BK74" s="5">
        <f t="shared" si="178"/>
        <v>0</v>
      </c>
      <c r="BL74" s="3">
        <f t="shared" si="179"/>
        <v>0.5714285714285714</v>
      </c>
      <c r="BM74" s="3">
        <f t="shared" si="180"/>
        <v>0.8571428571428571</v>
      </c>
      <c r="BN74" s="30">
        <f t="shared" si="181"/>
        <v>39.99999999999999</v>
      </c>
      <c r="BO74" s="21">
        <f t="shared" si="182"/>
        <v>139.47548541401682</v>
      </c>
      <c r="BP74" s="21">
        <f t="shared" si="183"/>
        <v>134.325</v>
      </c>
      <c r="BQ74" s="21">
        <f t="shared" si="184"/>
        <v>129.17451458598316</v>
      </c>
      <c r="BR74" s="19"/>
      <c r="BS74" s="21">
        <f t="shared" si="185"/>
        <v>0.0766869222261951</v>
      </c>
      <c r="BT74" s="21">
        <f t="shared" si="186"/>
        <v>-0.016941566857778773</v>
      </c>
      <c r="BU74" s="6">
        <f t="shared" si="187"/>
        <v>2038116</v>
      </c>
      <c r="BV74" s="6">
        <f t="shared" si="188"/>
        <v>509529</v>
      </c>
      <c r="BW74" s="6">
        <f t="shared" si="189"/>
        <v>2.038113721828768</v>
      </c>
      <c r="BX74" s="25">
        <f t="shared" si="190"/>
        <v>-292990.5299319728</v>
      </c>
      <c r="BY74" s="25">
        <f t="shared" si="191"/>
        <v>-234806.37244897962</v>
      </c>
      <c r="BZ74" s="26">
        <f t="shared" si="192"/>
        <v>-0.03304014535668874</v>
      </c>
      <c r="CA74" s="33">
        <f t="shared" si="193"/>
        <v>0.9648749334752528</v>
      </c>
      <c r="CB74" s="27">
        <f t="shared" si="194"/>
        <v>0.897774951122584</v>
      </c>
      <c r="CC74" s="66">
        <f t="shared" si="195"/>
        <v>130</v>
      </c>
      <c r="CD74" s="56">
        <f t="shared" si="196"/>
        <v>128</v>
      </c>
      <c r="CE74" s="66">
        <f t="shared" si="197"/>
        <v>131</v>
      </c>
      <c r="CF74" s="56">
        <f t="shared" si="198"/>
        <v>127</v>
      </c>
      <c r="CG74" s="66">
        <f t="shared" si="199"/>
        <v>133</v>
      </c>
      <c r="CH74" s="56">
        <f t="shared" si="200"/>
        <v>125</v>
      </c>
      <c r="CI74" s="66">
        <f t="shared" si="201"/>
        <v>135</v>
      </c>
      <c r="CJ74" s="56">
        <f t="shared" si="202"/>
        <v>124</v>
      </c>
      <c r="CK74" s="66">
        <f t="shared" si="203"/>
        <v>136</v>
      </c>
      <c r="CL74" s="84">
        <f t="shared" si="67"/>
        <v>137.525</v>
      </c>
      <c r="CM74" s="84">
        <f t="shared" si="68"/>
        <v>135</v>
      </c>
      <c r="CN74" s="84">
        <f t="shared" si="69"/>
        <v>129</v>
      </c>
      <c r="CO74" s="3">
        <f t="shared" si="70"/>
        <v>-3.2351043540140507</v>
      </c>
      <c r="CP74" s="3">
        <f t="shared" si="71"/>
        <v>-0.7946452080911802</v>
      </c>
      <c r="CQ74" s="3">
        <f t="shared" si="72"/>
        <v>10.826453506941474</v>
      </c>
      <c r="CR74">
        <f t="shared" si="73"/>
        <v>0.004457234585164065</v>
      </c>
      <c r="CS74" s="3">
        <f t="shared" si="74"/>
        <v>10.826510258077349</v>
      </c>
    </row>
    <row r="75" spans="1:97" ht="12.75">
      <c r="A75" s="83">
        <v>37966</v>
      </c>
      <c r="B75" s="53">
        <v>130.5</v>
      </c>
      <c r="C75" s="53">
        <v>130.5</v>
      </c>
      <c r="D75" s="52">
        <v>129</v>
      </c>
      <c r="E75" s="52">
        <v>129.5</v>
      </c>
      <c r="F75" s="1">
        <v>1146299</v>
      </c>
      <c r="G75" s="4">
        <f t="shared" si="135"/>
        <v>0</v>
      </c>
      <c r="H75" s="4">
        <f t="shared" si="136"/>
        <v>518</v>
      </c>
      <c r="I75" s="4">
        <f t="shared" si="137"/>
        <v>0</v>
      </c>
      <c r="J75" s="9">
        <f t="shared" si="138"/>
        <v>130</v>
      </c>
      <c r="K75" s="9">
        <f t="shared" si="139"/>
        <v>128</v>
      </c>
      <c r="L75" s="6">
        <f t="shared" si="140"/>
        <v>133.5173410404624</v>
      </c>
      <c r="M75" s="6">
        <f t="shared" si="141"/>
        <v>126.01734104046243</v>
      </c>
      <c r="N75" s="13">
        <f t="shared" si="142"/>
        <v>140.80801906078406</v>
      </c>
      <c r="O75" s="13">
        <f t="shared" si="143"/>
        <v>133.95</v>
      </c>
      <c r="P75" s="13">
        <f t="shared" si="144"/>
        <v>127.43301906078409</v>
      </c>
      <c r="Q75" s="1">
        <f t="shared" si="145"/>
        <v>1.5</v>
      </c>
      <c r="R75" s="1">
        <f t="shared" si="146"/>
        <v>1.5</v>
      </c>
      <c r="S75" s="1">
        <f t="shared" si="147"/>
        <v>0</v>
      </c>
      <c r="T75" s="6">
        <f t="shared" si="148"/>
        <v>1.5</v>
      </c>
      <c r="U75" s="6">
        <f t="shared" si="149"/>
        <v>1.5</v>
      </c>
      <c r="V75" s="3">
        <f t="shared" si="150"/>
        <v>1.5</v>
      </c>
      <c r="W75" s="3">
        <f t="shared" si="151"/>
        <v>0</v>
      </c>
      <c r="X75" s="3">
        <f t="shared" si="152"/>
        <v>1.5</v>
      </c>
      <c r="Y75" s="3">
        <f t="shared" si="153"/>
        <v>0</v>
      </c>
      <c r="Z75" s="3">
        <f t="shared" si="154"/>
        <v>1.5</v>
      </c>
      <c r="AA75" s="3">
        <f t="shared" si="155"/>
        <v>0</v>
      </c>
      <c r="AB75" s="30">
        <f t="shared" si="156"/>
        <v>40</v>
      </c>
      <c r="AC75" s="6">
        <f t="shared" si="157"/>
        <v>7.5</v>
      </c>
      <c r="AD75" s="6">
        <f t="shared" si="158"/>
        <v>10</v>
      </c>
      <c r="AE75" s="16">
        <f t="shared" si="159"/>
        <v>19</v>
      </c>
      <c r="AF75" s="16">
        <f t="shared" si="160"/>
        <v>25</v>
      </c>
      <c r="AG75" s="1">
        <f t="shared" si="161"/>
        <v>6</v>
      </c>
      <c r="AH75" s="1">
        <f t="shared" si="162"/>
        <v>44</v>
      </c>
      <c r="AI75" s="16">
        <f t="shared" si="163"/>
        <v>14</v>
      </c>
      <c r="AJ75" s="16">
        <f t="shared" si="164"/>
        <v>11.428571428571429</v>
      </c>
      <c r="AK75" s="16">
        <f t="shared" si="165"/>
        <v>14</v>
      </c>
      <c r="AL75" s="16">
        <f t="shared" si="166"/>
        <v>560</v>
      </c>
      <c r="AM75" s="59">
        <f t="shared" si="167"/>
        <v>9</v>
      </c>
      <c r="AN75" s="58">
        <f>MIN($E$73:E74)+AM74</f>
        <v>138</v>
      </c>
      <c r="AQ75" s="1">
        <f t="shared" si="168"/>
        <v>129.7</v>
      </c>
      <c r="AR75" s="38">
        <f t="shared" si="169"/>
        <v>127.6</v>
      </c>
      <c r="AS75" s="39">
        <f t="shared" si="170"/>
        <v>129.6</v>
      </c>
      <c r="AT75" s="38">
        <f t="shared" si="171"/>
        <v>131.6</v>
      </c>
      <c r="AU75" s="39">
        <f t="shared" si="172"/>
        <v>125.6</v>
      </c>
      <c r="AV75" s="1">
        <f t="shared" si="173"/>
        <v>0</v>
      </c>
      <c r="AW75" s="1">
        <f t="shared" si="174"/>
        <v>0</v>
      </c>
      <c r="AX75" s="1">
        <f t="shared" si="175"/>
        <v>127</v>
      </c>
      <c r="AY75" s="1">
        <f t="shared" si="176"/>
        <v>132</v>
      </c>
      <c r="AZ75" s="73" t="s">
        <v>186</v>
      </c>
      <c r="BA75" s="68" t="s">
        <v>195</v>
      </c>
      <c r="BB75" s="41">
        <f t="shared" si="208"/>
        <v>137.3872</v>
      </c>
      <c r="BC75" s="3">
        <f>MIN($D$73:D75)</f>
        <v>127</v>
      </c>
      <c r="BD75" s="3">
        <f t="shared" si="207"/>
        <v>10.387200000000007</v>
      </c>
      <c r="BE75" s="3">
        <f>MIN(IF(MIN($D$73:D75)&lt;MIN($D$73:D74),BE74+0.02,BE74),0.2)</f>
        <v>0.04</v>
      </c>
      <c r="BF75" s="3">
        <f aca="true" t="shared" si="209" ref="BF75:BF80">BE75*BD75</f>
        <v>0.4154880000000003</v>
      </c>
      <c r="BJ75" s="5">
        <f t="shared" si="177"/>
        <v>0.5</v>
      </c>
      <c r="BK75" s="5">
        <f t="shared" si="178"/>
        <v>0</v>
      </c>
      <c r="BL75" s="3">
        <f t="shared" si="179"/>
        <v>0.5714285714285714</v>
      </c>
      <c r="BM75" s="3">
        <f t="shared" si="180"/>
        <v>0.8571428571428571</v>
      </c>
      <c r="BN75" s="30">
        <f t="shared" si="181"/>
        <v>39.99999999999999</v>
      </c>
      <c r="BO75" s="21">
        <f t="shared" si="182"/>
        <v>139.35277706369604</v>
      </c>
      <c r="BP75" s="21">
        <f t="shared" si="183"/>
        <v>133.95</v>
      </c>
      <c r="BQ75" s="21">
        <f t="shared" si="184"/>
        <v>128.54722293630394</v>
      </c>
      <c r="BR75" s="19"/>
      <c r="BS75" s="21">
        <f t="shared" si="185"/>
        <v>0.0806685638476454</v>
      </c>
      <c r="BT75" s="21">
        <f t="shared" si="186"/>
        <v>0.08817475276726155</v>
      </c>
      <c r="BU75" s="6">
        <f t="shared" si="187"/>
        <v>-382099.6666666666</v>
      </c>
      <c r="BV75" s="6">
        <f t="shared" si="188"/>
        <v>-764199.3333333333</v>
      </c>
      <c r="BW75" s="6">
        <f t="shared" si="189"/>
        <v>1.146301038113722</v>
      </c>
      <c r="BX75" s="25">
        <f t="shared" si="190"/>
        <v>-345984.2489795918</v>
      </c>
      <c r="BY75" s="25">
        <f t="shared" si="191"/>
        <v>-315092.924829932</v>
      </c>
      <c r="BZ75" s="26">
        <f t="shared" si="192"/>
        <v>-0.0796662473258596</v>
      </c>
      <c r="CA75" s="33">
        <f t="shared" si="193"/>
        <v>0.9629037983670571</v>
      </c>
      <c r="CB75" s="27">
        <f t="shared" si="194"/>
        <v>0.7125383162228005</v>
      </c>
      <c r="CC75" s="66">
        <f t="shared" si="195"/>
        <v>128.33333333333334</v>
      </c>
      <c r="CD75" s="56">
        <f t="shared" si="196"/>
        <v>127.66666666666669</v>
      </c>
      <c r="CE75" s="66">
        <f t="shared" si="197"/>
        <v>129.66666666666669</v>
      </c>
      <c r="CF75" s="56">
        <f t="shared" si="198"/>
        <v>126.33333333333331</v>
      </c>
      <c r="CG75" s="66">
        <f t="shared" si="199"/>
        <v>130.33333333333334</v>
      </c>
      <c r="CH75" s="56">
        <f t="shared" si="200"/>
        <v>125.66666666666666</v>
      </c>
      <c r="CI75" s="66">
        <f t="shared" si="201"/>
        <v>131</v>
      </c>
      <c r="CJ75" s="56">
        <f t="shared" si="202"/>
        <v>124.33333333333331</v>
      </c>
      <c r="CK75" s="66">
        <f t="shared" si="203"/>
        <v>132.33333333333337</v>
      </c>
      <c r="CL75" s="84">
        <f t="shared" si="67"/>
        <v>137.525</v>
      </c>
      <c r="CM75" s="84">
        <f t="shared" si="68"/>
        <v>134.25</v>
      </c>
      <c r="CN75" s="84">
        <f t="shared" si="69"/>
        <v>129</v>
      </c>
      <c r="CO75" s="3">
        <f t="shared" si="70"/>
        <v>-3.7589976625192905</v>
      </c>
      <c r="CP75" s="3">
        <f t="shared" si="71"/>
        <v>-0.5956588272744457</v>
      </c>
      <c r="CQ75" s="3">
        <f t="shared" si="72"/>
        <v>12.957750984054469</v>
      </c>
      <c r="CR75">
        <f t="shared" si="73"/>
        <v>0.0015355364318554836</v>
      </c>
      <c r="CS75" s="3">
        <f t="shared" si="74"/>
        <v>12.957424311821342</v>
      </c>
    </row>
    <row r="76" spans="1:97" ht="12.75">
      <c r="A76" s="83">
        <v>37967</v>
      </c>
      <c r="B76" s="53">
        <v>131</v>
      </c>
      <c r="C76" s="53">
        <v>132</v>
      </c>
      <c r="D76" s="52">
        <v>128.5</v>
      </c>
      <c r="E76" s="52">
        <v>129</v>
      </c>
      <c r="F76" s="1">
        <v>1464887</v>
      </c>
      <c r="G76" s="4">
        <f t="shared" si="135"/>
        <v>0</v>
      </c>
      <c r="H76" s="4">
        <f t="shared" si="136"/>
        <v>518</v>
      </c>
      <c r="I76" s="4">
        <f t="shared" si="137"/>
        <v>0</v>
      </c>
      <c r="J76" s="9">
        <f t="shared" si="138"/>
        <v>130</v>
      </c>
      <c r="K76" s="9">
        <f t="shared" si="139"/>
        <v>128.5</v>
      </c>
      <c r="L76" s="6">
        <f t="shared" si="140"/>
        <v>139.0940499040307</v>
      </c>
      <c r="M76" s="6">
        <f t="shared" si="141"/>
        <v>121.5940499040307</v>
      </c>
      <c r="N76" s="13">
        <f t="shared" si="142"/>
        <v>140.68625635452042</v>
      </c>
      <c r="O76" s="13">
        <f t="shared" si="143"/>
        <v>133.575</v>
      </c>
      <c r="P76" s="13">
        <f t="shared" si="144"/>
        <v>126.9362563545204</v>
      </c>
      <c r="Q76" s="1">
        <f t="shared" si="145"/>
        <v>3.5</v>
      </c>
      <c r="R76" s="1">
        <f t="shared" si="146"/>
        <v>2.5</v>
      </c>
      <c r="S76" s="1">
        <f t="shared" si="147"/>
        <v>1</v>
      </c>
      <c r="T76" s="6">
        <f t="shared" si="148"/>
        <v>3.5</v>
      </c>
      <c r="U76" s="6">
        <f t="shared" si="149"/>
        <v>3.5</v>
      </c>
      <c r="V76" s="3">
        <f t="shared" si="150"/>
        <v>1.5</v>
      </c>
      <c r="W76" s="3">
        <f t="shared" si="151"/>
        <v>0.5</v>
      </c>
      <c r="X76" s="3">
        <f t="shared" si="152"/>
        <v>1.5</v>
      </c>
      <c r="Y76" s="3">
        <f t="shared" si="153"/>
        <v>0.5</v>
      </c>
      <c r="Z76" s="3">
        <f t="shared" si="154"/>
        <v>1.5</v>
      </c>
      <c r="AA76" s="3">
        <f t="shared" si="155"/>
        <v>0</v>
      </c>
      <c r="AB76" s="30">
        <f t="shared" si="156"/>
        <v>38.5</v>
      </c>
      <c r="AC76" s="6">
        <f t="shared" si="157"/>
        <v>5</v>
      </c>
      <c r="AD76" s="6">
        <f t="shared" si="158"/>
        <v>10</v>
      </c>
      <c r="AE76" s="16">
        <f t="shared" si="159"/>
        <v>13</v>
      </c>
      <c r="AF76" s="16">
        <f t="shared" si="160"/>
        <v>25</v>
      </c>
      <c r="AG76" s="1">
        <f t="shared" si="161"/>
        <v>12</v>
      </c>
      <c r="AH76" s="1">
        <f t="shared" si="162"/>
        <v>38</v>
      </c>
      <c r="AI76" s="16">
        <f t="shared" si="163"/>
        <v>32</v>
      </c>
      <c r="AJ76" s="16">
        <f t="shared" si="164"/>
        <v>12.785714285714286</v>
      </c>
      <c r="AK76" s="16">
        <f t="shared" si="165"/>
        <v>15</v>
      </c>
      <c r="AL76" s="16">
        <f t="shared" si="166"/>
        <v>577.5</v>
      </c>
      <c r="AM76" s="59">
        <f t="shared" si="167"/>
        <v>9</v>
      </c>
      <c r="AN76" s="58">
        <f>MIN($E$73:E75)+AM75</f>
        <v>138</v>
      </c>
      <c r="AQ76" s="1">
        <f t="shared" si="168"/>
        <v>129.8</v>
      </c>
      <c r="AR76" s="38">
        <f t="shared" si="169"/>
        <v>128.9</v>
      </c>
      <c r="AS76" s="39">
        <f t="shared" si="170"/>
        <v>130.4</v>
      </c>
      <c r="AT76" s="38">
        <f t="shared" si="171"/>
        <v>131.9</v>
      </c>
      <c r="AU76" s="39">
        <f t="shared" si="172"/>
        <v>127.4</v>
      </c>
      <c r="AV76" s="70">
        <f>IF(C76&gt;AT76,1,0)</f>
        <v>1</v>
      </c>
      <c r="AW76" s="1">
        <f t="shared" si="174"/>
        <v>0</v>
      </c>
      <c r="AX76" s="1">
        <f t="shared" si="175"/>
        <v>127</v>
      </c>
      <c r="AY76" s="1">
        <f t="shared" si="176"/>
        <v>130.5</v>
      </c>
      <c r="AZ76" s="75" t="s">
        <v>220</v>
      </c>
      <c r="BB76" s="41">
        <f t="shared" si="208"/>
        <v>136.971712</v>
      </c>
      <c r="BC76" s="3">
        <f>MIN($D$73:D76)</f>
        <v>127</v>
      </c>
      <c r="BD76" s="3">
        <f t="shared" si="207"/>
        <v>9.971711999999997</v>
      </c>
      <c r="BE76" s="3">
        <f>MIN(IF(MIN($D$73:D76)&lt;MIN($D$73:D75),BE75+0.02,BE75),0.2)</f>
        <v>0.04</v>
      </c>
      <c r="BF76" s="3">
        <f t="shared" si="209"/>
        <v>0.39886847999999986</v>
      </c>
      <c r="BJ76" s="5">
        <f t="shared" si="177"/>
        <v>0</v>
      </c>
      <c r="BK76" s="5">
        <f t="shared" si="178"/>
        <v>0.5</v>
      </c>
      <c r="BL76" s="3">
        <f t="shared" si="179"/>
        <v>0.25</v>
      </c>
      <c r="BM76" s="3">
        <f t="shared" si="180"/>
        <v>0.8928571428571429</v>
      </c>
      <c r="BN76" s="30">
        <f t="shared" si="181"/>
        <v>21.875</v>
      </c>
      <c r="BO76" s="21">
        <f t="shared" si="182"/>
        <v>139.25192698561466</v>
      </c>
      <c r="BP76" s="21">
        <f t="shared" si="183"/>
        <v>133.575</v>
      </c>
      <c r="BQ76" s="21">
        <f t="shared" si="184"/>
        <v>127.89807301438532</v>
      </c>
      <c r="BR76" s="19"/>
      <c r="BS76" s="21">
        <f t="shared" si="185"/>
        <v>0.08499984256956274</v>
      </c>
      <c r="BT76" s="21">
        <f t="shared" si="186"/>
        <v>0.09705312296661242</v>
      </c>
      <c r="BU76" s="6">
        <f t="shared" si="187"/>
        <v>-1046347.8571428572</v>
      </c>
      <c r="BV76" s="6">
        <f t="shared" si="188"/>
        <v>-837078.2857142857</v>
      </c>
      <c r="BW76" s="6">
        <f t="shared" si="189"/>
        <v>-1.464885853698962</v>
      </c>
      <c r="BX76" s="25">
        <f t="shared" si="190"/>
        <v>-596235.5482993198</v>
      </c>
      <c r="BY76" s="25">
        <f t="shared" si="191"/>
        <v>-575469.5642857143</v>
      </c>
      <c r="BZ76" s="26">
        <f t="shared" si="192"/>
        <v>-0.4099595796662472</v>
      </c>
      <c r="CA76" s="33">
        <f t="shared" si="193"/>
        <v>0.9593280282935455</v>
      </c>
      <c r="CB76" s="27">
        <f t="shared" si="194"/>
        <v>0.5948081372611697</v>
      </c>
      <c r="CC76" s="66">
        <f t="shared" si="195"/>
        <v>129.66666666666666</v>
      </c>
      <c r="CD76" s="56">
        <f t="shared" si="196"/>
        <v>128.83333333333331</v>
      </c>
      <c r="CE76" s="66">
        <f t="shared" si="197"/>
        <v>130.33333333333331</v>
      </c>
      <c r="CF76" s="56">
        <f t="shared" si="198"/>
        <v>128.16666666666669</v>
      </c>
      <c r="CG76" s="66">
        <f t="shared" si="199"/>
        <v>131.16666666666666</v>
      </c>
      <c r="CH76" s="56">
        <f t="shared" si="200"/>
        <v>127.33333333333334</v>
      </c>
      <c r="CI76" s="66">
        <f t="shared" si="201"/>
        <v>132</v>
      </c>
      <c r="CJ76" s="56">
        <f t="shared" si="202"/>
        <v>126.66666666666669</v>
      </c>
      <c r="CK76" s="66">
        <f t="shared" si="203"/>
        <v>132.66666666666663</v>
      </c>
      <c r="CL76" s="84">
        <f t="shared" si="67"/>
        <v>137.525</v>
      </c>
      <c r="CM76" s="84">
        <f t="shared" si="68"/>
        <v>134</v>
      </c>
      <c r="CN76" s="84">
        <f t="shared" si="69"/>
        <v>129</v>
      </c>
      <c r="CO76" s="3">
        <f t="shared" si="70"/>
        <v>-4.094519439542449</v>
      </c>
      <c r="CP76" s="3">
        <f t="shared" si="71"/>
        <v>-0.40817824498663197</v>
      </c>
      <c r="CQ76" s="3">
        <f t="shared" si="72"/>
        <v>14.52627279959373</v>
      </c>
      <c r="CR76">
        <f t="shared" si="73"/>
        <v>0.0007009062623612006</v>
      </c>
      <c r="CS76" s="3">
        <f t="shared" si="74"/>
        <v>14.525579172186553</v>
      </c>
    </row>
    <row r="77" spans="1:97" ht="12.75">
      <c r="A77" s="83">
        <v>37970</v>
      </c>
      <c r="B77" s="52">
        <v>130.5</v>
      </c>
      <c r="C77" s="52">
        <v>132.5</v>
      </c>
      <c r="D77" s="52">
        <v>129.5</v>
      </c>
      <c r="E77" s="52">
        <v>130</v>
      </c>
      <c r="F77" s="1">
        <v>2520693</v>
      </c>
      <c r="G77" s="4">
        <f t="shared" si="135"/>
        <v>0</v>
      </c>
      <c r="H77" s="4">
        <f t="shared" si="136"/>
        <v>521.5</v>
      </c>
      <c r="I77" s="4">
        <f t="shared" si="137"/>
        <v>0</v>
      </c>
      <c r="J77" s="9">
        <f t="shared" si="138"/>
        <v>130.5</v>
      </c>
      <c r="K77" s="9">
        <f t="shared" si="139"/>
        <v>127</v>
      </c>
      <c r="L77" s="6">
        <f>C77*(1+2*((((C77-D77)/((C77+D77)/2))*1000)*0.001))</f>
        <v>138.56870229007635</v>
      </c>
      <c r="M77" s="6">
        <f>D77*(1-2*((((C77-D77)/((C77+D77)/2))*1000)*0.001))</f>
        <v>123.56870229007635</v>
      </c>
      <c r="N77" s="13">
        <f>AVERAGE(L58:L77)</f>
        <v>140.6373462532644</v>
      </c>
      <c r="O77" s="13">
        <f>AVERAGE(E58:E77)</f>
        <v>133.45</v>
      </c>
      <c r="P77" s="13">
        <f>AVERAGE(M58:M77)</f>
        <v>126.76234625326438</v>
      </c>
      <c r="Q77" s="1">
        <f>ABS(C77-D77)</f>
        <v>3</v>
      </c>
      <c r="R77" s="1">
        <f>ABS(C77-E76)</f>
        <v>3.5</v>
      </c>
      <c r="S77" s="1">
        <f>ABS(D77-E76)</f>
        <v>0.5</v>
      </c>
      <c r="T77" s="6">
        <f>IF(Q77&gt;R77,Q77,R77)</f>
        <v>3.5</v>
      </c>
      <c r="U77" s="6">
        <f>IF(S77&gt;T77,S77,T77)</f>
        <v>3.5</v>
      </c>
      <c r="V77" s="3">
        <f>IF(C77-C76&gt;0,C77-C76,0)</f>
        <v>0.5</v>
      </c>
      <c r="W77" s="3">
        <f>IF(D77&lt;D76,D76-D77,0)</f>
        <v>0</v>
      </c>
      <c r="X77" s="3">
        <f>IF(V77=W77,0,V77)</f>
        <v>0.5</v>
      </c>
      <c r="Y77" s="3">
        <f>IF(V77=W77,0,W77)</f>
        <v>0</v>
      </c>
      <c r="Z77" s="3">
        <f>IF(X77&gt;Y77,X77,0)</f>
        <v>0.5</v>
      </c>
      <c r="AA77" s="3">
        <f>IF(Y77&gt;X77,Y77,0)</f>
        <v>0</v>
      </c>
      <c r="AB77" s="30">
        <f>SUM(U64:U77)</f>
        <v>39</v>
      </c>
      <c r="AC77" s="6">
        <f aca="true" t="shared" si="210" ref="AC77:AD79">SUM(Z64:Z77)</f>
        <v>5.5</v>
      </c>
      <c r="AD77" s="6">
        <f t="shared" si="210"/>
        <v>10</v>
      </c>
      <c r="AE77" s="16">
        <f>ROUND(((AC77/AB77)*100),0)</f>
        <v>14</v>
      </c>
      <c r="AF77" s="16">
        <f>ROUND(TRUNC((AD77/AB77)*100),0)</f>
        <v>25</v>
      </c>
      <c r="AG77" s="1">
        <f>ABS(AE77-AF77)</f>
        <v>11</v>
      </c>
      <c r="AH77" s="1">
        <f>AE77+AF77</f>
        <v>39</v>
      </c>
      <c r="AI77" s="16">
        <f>ROUND(((AG77/AH77)*100),0)</f>
        <v>28</v>
      </c>
      <c r="AJ77" s="16">
        <f>SUM(AI64:AI77)/14</f>
        <v>13.428571428571429</v>
      </c>
      <c r="AK77" s="16">
        <f>ROUND((AJ63+AJ77)/2,0)</f>
        <v>15</v>
      </c>
      <c r="AL77" s="16">
        <f>AB77*AK77</f>
        <v>585</v>
      </c>
      <c r="AM77" s="59">
        <f>ROUND(3*(SUM(U71:U77)/7),0)</f>
        <v>9</v>
      </c>
      <c r="AN77" s="58">
        <f>MIN($E$73:E76)+AM76</f>
        <v>138</v>
      </c>
      <c r="AQ77" s="1">
        <f>ROUND((C77+D77+E77)/3,1)</f>
        <v>130.7</v>
      </c>
      <c r="AR77" s="38">
        <f>ROUND((2*AQ76-C76),1)</f>
        <v>127.6</v>
      </c>
      <c r="AS77" s="39">
        <f>ROUND((2*AQ76-D76),1)</f>
        <v>131.1</v>
      </c>
      <c r="AT77" s="38">
        <f>ROUND((2*AQ76+C76-2*D76),1)</f>
        <v>134.6</v>
      </c>
      <c r="AU77" s="39">
        <f>ROUND((2*AQ76+D76-2*C76),1)</f>
        <v>124.1</v>
      </c>
      <c r="AV77" s="1">
        <f>IF(C77&gt;AT77,1,0)</f>
        <v>0</v>
      </c>
      <c r="AW77" s="1">
        <f>IF(D77&lt;AU77,1,0)</f>
        <v>0</v>
      </c>
      <c r="AX77" s="1">
        <f>MIN(D75,D76)</f>
        <v>128.5</v>
      </c>
      <c r="AY77" s="1">
        <f>MAX(C75,C76)</f>
        <v>132</v>
      </c>
      <c r="AZ77" s="68"/>
      <c r="BB77" s="41">
        <f t="shared" si="208"/>
        <v>136.57284352</v>
      </c>
      <c r="BC77" s="3">
        <f>MIN($D$73:D77)</f>
        <v>127</v>
      </c>
      <c r="BD77" s="3">
        <f t="shared" si="207"/>
        <v>9.572843519999992</v>
      </c>
      <c r="BE77" s="3">
        <f>MIN(IF(MIN($D$73:D77)&lt;MIN($D$73:D76),BE76+0.02,BE76),0.2)</f>
        <v>0.04</v>
      </c>
      <c r="BF77" s="3">
        <f t="shared" si="209"/>
        <v>0.3829137407999997</v>
      </c>
      <c r="BJ77" s="5">
        <f>IF(E77&gt;E76,E77-E76,0)</f>
        <v>1</v>
      </c>
      <c r="BK77" s="5">
        <f>IF(E77&lt;E76,E76-E77,0)</f>
        <v>0</v>
      </c>
      <c r="BL77" s="3">
        <f aca="true" t="shared" si="211" ref="BL77:BM79">SUM(BJ64:BJ77)/14</f>
        <v>0.32142857142857145</v>
      </c>
      <c r="BM77" s="3">
        <f t="shared" si="211"/>
        <v>0.75</v>
      </c>
      <c r="BN77" s="30">
        <f>100-(100/(1+(BL77/BM77)))</f>
        <v>30</v>
      </c>
      <c r="BO77" s="21">
        <f>AVERAGE(E58:E77)+2*STDEVP(E58:E77)</f>
        <v>139.3228187440104</v>
      </c>
      <c r="BP77" s="21">
        <f>AVERAGE(E58:E77)</f>
        <v>133.45</v>
      </c>
      <c r="BQ77" s="21">
        <f>AVERAGE(E58:E77)-2*STDEVP(E58:E77)</f>
        <v>127.57718125598959</v>
      </c>
      <c r="BR77" s="19"/>
      <c r="BS77" s="21">
        <f>(BO77-BQ77)/BP77</f>
        <v>0.08801526780083031</v>
      </c>
      <c r="BT77" s="21">
        <f>(E77-BQ77)/(BO77-BQ77)</f>
        <v>0.2062739248066705</v>
      </c>
      <c r="BU77" s="6">
        <f>(2*E77-C77-D77)/((C77-D77))*F77</f>
        <v>-1680462</v>
      </c>
      <c r="BV77" s="6">
        <f>(E77-B77)/((C77-D77))*F77</f>
        <v>-420115.5</v>
      </c>
      <c r="BW77" s="6">
        <f>(IF(E77&gt;=E76,BW76+F77,BW76-F77))/(1000000)</f>
        <v>2.520691535114146</v>
      </c>
      <c r="BX77" s="25">
        <f aca="true" t="shared" si="212" ref="BX77:BZ79">AVERAGE(BU64:BU77)</f>
        <v>-677945.405442177</v>
      </c>
      <c r="BY77" s="25">
        <f t="shared" si="212"/>
        <v>-605477.8142857142</v>
      </c>
      <c r="BZ77" s="26">
        <f t="shared" si="212"/>
        <v>-0.038294695673865356</v>
      </c>
      <c r="CA77" s="33">
        <f aca="true" t="shared" si="213" ref="CA77:CB79">AVERAGE(E75:E77)/AVERAGE(E59:E65)</f>
        <v>0.9592592592592593</v>
      </c>
      <c r="CB77" s="27">
        <f t="shared" si="213"/>
        <v>0.7085582517394199</v>
      </c>
      <c r="CC77" s="66">
        <f>(C76+D76+E76)/3</f>
        <v>129.83333333333334</v>
      </c>
      <c r="CD77" s="56">
        <f>CC77*2-C76</f>
        <v>127.66666666666669</v>
      </c>
      <c r="CE77" s="66">
        <f>CC77*2-D76</f>
        <v>131.16666666666669</v>
      </c>
      <c r="CF77" s="56">
        <f>CC77+CD77-CE77</f>
        <v>126.33333333333331</v>
      </c>
      <c r="CG77" s="66">
        <f>CC77-CD77+CE77</f>
        <v>133.33333333333334</v>
      </c>
      <c r="CH77" s="56">
        <f>CC77+CD77-CG77</f>
        <v>124.16666666666666</v>
      </c>
      <c r="CI77" s="66">
        <f>CC77-CD77+CG77</f>
        <v>135.5</v>
      </c>
      <c r="CJ77" s="56">
        <f>CC77-CG77+CF77</f>
        <v>122.83333333333331</v>
      </c>
      <c r="CK77" s="66">
        <f>CC77+CG77-CF77</f>
        <v>136.83333333333337</v>
      </c>
      <c r="CL77" s="84">
        <f t="shared" si="67"/>
        <v>137.525</v>
      </c>
      <c r="CM77" s="84">
        <f t="shared" si="68"/>
        <v>134</v>
      </c>
      <c r="CN77" s="84">
        <f t="shared" si="69"/>
        <v>129</v>
      </c>
      <c r="CO77" s="3">
        <f t="shared" si="70"/>
        <v>-4.343553723734338</v>
      </c>
      <c r="CP77" s="3">
        <f t="shared" si="71"/>
        <v>-0.3253526573664885</v>
      </c>
      <c r="CQ77" s="3">
        <f t="shared" si="72"/>
        <v>16.074896964656816</v>
      </c>
      <c r="CR77">
        <f t="shared" si="73"/>
        <v>0.00032313237716202227</v>
      </c>
      <c r="CS77" s="3">
        <f t="shared" si="74"/>
        <v>16.073376460923328</v>
      </c>
    </row>
    <row r="78" spans="1:97" ht="12.75">
      <c r="A78" s="83">
        <v>37971</v>
      </c>
      <c r="B78" s="6">
        <v>129</v>
      </c>
      <c r="C78" s="6">
        <v>130</v>
      </c>
      <c r="D78" s="6">
        <v>127</v>
      </c>
      <c r="E78" s="6">
        <v>128</v>
      </c>
      <c r="F78" s="1">
        <v>1942430</v>
      </c>
      <c r="G78" s="4">
        <f>IF(E78&gt;B78,C78*2+D78+E78,0)</f>
        <v>0</v>
      </c>
      <c r="H78" s="4">
        <f>IF(E78&lt;B78,C78+D78*2+E78,0)</f>
        <v>512</v>
      </c>
      <c r="I78" s="4">
        <f>IF(E78=B78,C78+D78+E78*2,0)</f>
        <v>0</v>
      </c>
      <c r="J78" s="9">
        <f>(G77+H77+I77)/2-D77</f>
        <v>131.25</v>
      </c>
      <c r="K78" s="9">
        <f>(G77+H77+I77)/2-C77</f>
        <v>128.25</v>
      </c>
      <c r="L78" s="6">
        <f>C78*(1+2*((((C78-D78)/((C78+D78)/2))*1000)*0.001))</f>
        <v>136.07003891050584</v>
      </c>
      <c r="M78" s="6">
        <f>D78*(1-2*((((C78-D78)/((C78+D78)/2))*1000)*0.001))</f>
        <v>121.07003891050583</v>
      </c>
      <c r="N78" s="13">
        <f>AVERAGE(L59:L78)</f>
        <v>140.41352045204852</v>
      </c>
      <c r="O78" s="13">
        <f>AVERAGE(E59:E78)</f>
        <v>133.15</v>
      </c>
      <c r="P78" s="13">
        <f>AVERAGE(M59:M78)</f>
        <v>126.41352045204853</v>
      </c>
      <c r="Q78" s="1">
        <f>ABS(C78-D78)</f>
        <v>3</v>
      </c>
      <c r="R78" s="1">
        <f>ABS(C78-E77)</f>
        <v>0</v>
      </c>
      <c r="S78" s="1">
        <f>ABS(D78-E77)</f>
        <v>3</v>
      </c>
      <c r="T78" s="6">
        <f>IF(Q78&gt;R78,Q78,R78)</f>
        <v>3</v>
      </c>
      <c r="U78" s="6">
        <f>IF(S78&gt;T78,S78,T78)</f>
        <v>3</v>
      </c>
      <c r="V78" s="3">
        <f>IF(C78-C77&gt;0,C78-C77,0)</f>
        <v>0</v>
      </c>
      <c r="W78" s="3">
        <f>IF(D78&lt;D77,D77-D78,0)</f>
        <v>2.5</v>
      </c>
      <c r="X78" s="3">
        <f>IF(V78=W78,0,V78)</f>
        <v>0</v>
      </c>
      <c r="Y78" s="3">
        <f>IF(V78=W78,0,W78)</f>
        <v>2.5</v>
      </c>
      <c r="Z78" s="3">
        <f>IF(X78&gt;Y78,X78,0)</f>
        <v>0</v>
      </c>
      <c r="AA78" s="3">
        <f>IF(Y78&gt;X78,Y78,0)</f>
        <v>2.5</v>
      </c>
      <c r="AB78" s="30">
        <f>SUM(U65:U78)</f>
        <v>39.5</v>
      </c>
      <c r="AC78" s="6">
        <f t="shared" si="210"/>
        <v>5</v>
      </c>
      <c r="AD78" s="6">
        <f t="shared" si="210"/>
        <v>12.5</v>
      </c>
      <c r="AE78" s="16">
        <f>ROUND(((AC78/AB78)*100),0)</f>
        <v>13</v>
      </c>
      <c r="AF78" s="16">
        <f>ROUND(TRUNC((AD78/AB78)*100),0)</f>
        <v>31</v>
      </c>
      <c r="AG78" s="1">
        <f>ABS(AE78-AF78)</f>
        <v>18</v>
      </c>
      <c r="AH78" s="1">
        <f>AE78+AF78</f>
        <v>44</v>
      </c>
      <c r="AI78" s="16">
        <f>ROUND(((AG78/AH78)*100),0)</f>
        <v>41</v>
      </c>
      <c r="AJ78" s="16">
        <f>SUM(AI65:AI78)/14</f>
        <v>15.285714285714286</v>
      </c>
      <c r="AK78" s="16">
        <f>ROUND((AJ64+AJ78)/2,0)</f>
        <v>16</v>
      </c>
      <c r="AL78" s="16">
        <f>AB78*AK78</f>
        <v>632</v>
      </c>
      <c r="AM78" s="59">
        <f>ROUND(3*(SUM(U72:U78)/7),0)</f>
        <v>9</v>
      </c>
      <c r="AN78" s="58">
        <f>MIN($E$73:E77)+AM77</f>
        <v>138</v>
      </c>
      <c r="AQ78" s="1">
        <f>ROUND((C78+D78+E78)/3,1)</f>
        <v>128.3</v>
      </c>
      <c r="AR78" s="38">
        <f>ROUND((2*AQ77-C77),1)</f>
        <v>128.9</v>
      </c>
      <c r="AS78" s="39">
        <f>ROUND((2*AQ77-D77),1)</f>
        <v>131.9</v>
      </c>
      <c r="AT78" s="38">
        <f>ROUND((2*AQ77+C77-2*D77),1)</f>
        <v>134.9</v>
      </c>
      <c r="AU78" s="39">
        <f>ROUND((2*AQ77+D77-2*C77),1)</f>
        <v>125.9</v>
      </c>
      <c r="AV78" s="69">
        <f>IF(C78&gt;AT78,1,0)</f>
        <v>0</v>
      </c>
      <c r="AW78" s="1">
        <f>IF(D78&lt;AU78,1,0)</f>
        <v>0</v>
      </c>
      <c r="AX78" s="1">
        <f>MIN(D76,D77)</f>
        <v>128.5</v>
      </c>
      <c r="AY78" s="1">
        <f>MAX(C76,C77)</f>
        <v>132.5</v>
      </c>
      <c r="AZ78" s="78" t="s">
        <v>76</v>
      </c>
      <c r="BA78" s="68" t="s">
        <v>222</v>
      </c>
      <c r="BB78" s="41">
        <f t="shared" si="208"/>
        <v>136.18992977919999</v>
      </c>
      <c r="BC78" s="3">
        <f>MIN($D$73:D78)</f>
        <v>127</v>
      </c>
      <c r="BD78" s="3">
        <f t="shared" si="207"/>
        <v>9.189929779199986</v>
      </c>
      <c r="BE78" s="3">
        <f>MIN(IF(MIN($D$73:D78)&lt;MIN($D$73:D77),BE77+0.02,BE77),0.2)</f>
        <v>0.04</v>
      </c>
      <c r="BF78" s="3">
        <f t="shared" si="209"/>
        <v>0.36759719116799944</v>
      </c>
      <c r="BJ78" s="5">
        <f>IF(E78&gt;E77,E78-E77,0)</f>
        <v>0</v>
      </c>
      <c r="BK78" s="5">
        <f>IF(E78&lt;E77,E77-E78,0)</f>
        <v>2</v>
      </c>
      <c r="BL78" s="3">
        <f t="shared" si="211"/>
        <v>0.32142857142857145</v>
      </c>
      <c r="BM78" s="3">
        <f t="shared" si="211"/>
        <v>0.8928571428571429</v>
      </c>
      <c r="BN78" s="30">
        <f>100-(100/(1+(BL78/BM78)))</f>
        <v>26.470588235294116</v>
      </c>
      <c r="BO78" s="21">
        <f>AVERAGE(E59:E78)+2*STDEVP(E59:E78)</f>
        <v>139.4753458403474</v>
      </c>
      <c r="BP78" s="21">
        <f>AVERAGE(E59:E78)</f>
        <v>133.15</v>
      </c>
      <c r="BQ78" s="21">
        <f>AVERAGE(E59:E78)-2*STDEVP(E59:E78)</f>
        <v>126.82465415965262</v>
      </c>
      <c r="BR78" s="19"/>
      <c r="BS78" s="21">
        <f>(BO78-BQ78)/BP78</f>
        <v>0.09501082749301361</v>
      </c>
      <c r="BT78" s="21">
        <f>(E78-BQ78)/(BO78-BQ78)</f>
        <v>0.09290763461898133</v>
      </c>
      <c r="BU78" s="6">
        <f>(2*E78-C78-D78)/((C78-D78))*F78</f>
        <v>-647476.6666666666</v>
      </c>
      <c r="BV78" s="6">
        <f>(E78-B78)/((C78-D78))*F78</f>
        <v>-647476.6666666666</v>
      </c>
      <c r="BW78" s="6">
        <f>(IF(E78&gt;=E77,BW77+F78,BW77-F78))/(1000000)</f>
        <v>-1.9424274793084648</v>
      </c>
      <c r="BX78" s="25">
        <f t="shared" si="212"/>
        <v>-631026.0387755102</v>
      </c>
      <c r="BY78" s="25">
        <f t="shared" si="212"/>
        <v>-589614.3476190476</v>
      </c>
      <c r="BZ78" s="26">
        <f t="shared" si="212"/>
        <v>-0.33231882400898133</v>
      </c>
      <c r="CA78" s="33">
        <f t="shared" si="213"/>
        <v>0.9515279241306638</v>
      </c>
      <c r="CB78" s="27">
        <f t="shared" si="213"/>
        <v>0.8407695808555129</v>
      </c>
      <c r="CC78" s="66">
        <f>(C77+D77+E77)/3</f>
        <v>130.66666666666666</v>
      </c>
      <c r="CD78" s="56">
        <f>CC78*2-C77</f>
        <v>128.83333333333331</v>
      </c>
      <c r="CE78" s="66">
        <f>CC78*2-D77</f>
        <v>131.83333333333331</v>
      </c>
      <c r="CF78" s="56">
        <f>CC78+CD78-CE78</f>
        <v>127.66666666666669</v>
      </c>
      <c r="CG78" s="66">
        <f>CC78-CD78+CE78</f>
        <v>133.66666666666666</v>
      </c>
      <c r="CH78" s="56">
        <f>CC78+CD78-CG78</f>
        <v>125.83333333333334</v>
      </c>
      <c r="CI78" s="66">
        <f>CC78-CD78+CG78</f>
        <v>135.5</v>
      </c>
      <c r="CJ78" s="56">
        <f>CC78-CG78+CF78</f>
        <v>124.66666666666669</v>
      </c>
      <c r="CK78" s="66">
        <f>CC78+CG78-CF78</f>
        <v>136.66666666666663</v>
      </c>
      <c r="CL78" s="84">
        <f t="shared" si="67"/>
        <v>137.525</v>
      </c>
      <c r="CM78" s="84">
        <f t="shared" si="68"/>
        <v>133.75</v>
      </c>
      <c r="CN78" s="84">
        <f t="shared" si="69"/>
        <v>128.475</v>
      </c>
      <c r="CO78" s="3">
        <f t="shared" si="70"/>
        <v>-4.507735903011079</v>
      </c>
      <c r="CP78" s="3">
        <f t="shared" si="71"/>
        <v>-0.22866537475219265</v>
      </c>
      <c r="CQ78" s="3">
        <f t="shared" si="72"/>
        <v>17.10736198811446</v>
      </c>
      <c r="CR78">
        <f t="shared" si="73"/>
        <v>0.00019283397083813582</v>
      </c>
      <c r="CS78" s="3">
        <f t="shared" si="74"/>
        <v>17.10728229227243</v>
      </c>
    </row>
    <row r="79" spans="1:97" ht="12.75">
      <c r="A79" s="83">
        <v>37972</v>
      </c>
      <c r="B79" s="53">
        <v>128</v>
      </c>
      <c r="C79" s="53">
        <v>128</v>
      </c>
      <c r="D79" s="6">
        <v>124.5</v>
      </c>
      <c r="E79" s="6">
        <v>125</v>
      </c>
      <c r="F79" s="1">
        <v>1960913</v>
      </c>
      <c r="G79" s="4">
        <f>IF(E79&gt;B79,C79*2+D79+E79,0)</f>
        <v>0</v>
      </c>
      <c r="H79" s="4">
        <f>IF(E79&lt;B79,C79+D79*2+E79,0)</f>
        <v>502</v>
      </c>
      <c r="I79" s="4">
        <f>IF(E79=B79,C79+D79+E79*2,0)</f>
        <v>0</v>
      </c>
      <c r="J79" s="9">
        <f>(G78+H78+I78)/2-D78</f>
        <v>129</v>
      </c>
      <c r="K79" s="9">
        <f>(G78+H78+I78)/2-C78</f>
        <v>126</v>
      </c>
      <c r="L79" s="6">
        <f>C79*(1+2*((((C79-D79)/((C79+D79)/2))*1000)*0.001))</f>
        <v>135.0970297029703</v>
      </c>
      <c r="M79" s="6">
        <f>D79*(1-2*((((C79-D79)/((C79+D79)/2))*1000)*0.001))</f>
        <v>117.59702970297029</v>
      </c>
      <c r="N79" s="13">
        <f>AVERAGE(L60:L79)</f>
        <v>140.34185102464951</v>
      </c>
      <c r="O79" s="13">
        <f>AVERAGE(E60:E79)</f>
        <v>132.8</v>
      </c>
      <c r="P79" s="13">
        <f>AVERAGE(M60:M79)</f>
        <v>125.96685102464951</v>
      </c>
      <c r="Q79" s="1">
        <f>ABS(C79-D79)</f>
        <v>3.5</v>
      </c>
      <c r="R79" s="1">
        <f>ABS(C79-E78)</f>
        <v>0</v>
      </c>
      <c r="S79" s="1">
        <f>ABS(D79-E78)</f>
        <v>3.5</v>
      </c>
      <c r="T79" s="6">
        <f>IF(Q79&gt;R79,Q79,R79)</f>
        <v>3.5</v>
      </c>
      <c r="U79" s="6">
        <f>IF(S79&gt;T79,S79,T79)</f>
        <v>3.5</v>
      </c>
      <c r="V79" s="3">
        <f>IF(C79-C78&gt;0,C79-C78,0)</f>
        <v>0</v>
      </c>
      <c r="W79" s="3">
        <f>IF(D79&lt;D78,D78-D79,0)</f>
        <v>2.5</v>
      </c>
      <c r="X79" s="3">
        <f>IF(V79=W79,0,V79)</f>
        <v>0</v>
      </c>
      <c r="Y79" s="3">
        <f>IF(V79=W79,0,W79)</f>
        <v>2.5</v>
      </c>
      <c r="Z79" s="3">
        <f>IF(X79&gt;Y79,X79,0)</f>
        <v>0</v>
      </c>
      <c r="AA79" s="3">
        <f>IF(Y79&gt;X79,Y79,0)</f>
        <v>2.5</v>
      </c>
      <c r="AB79" s="30">
        <f>SUM(U66:U79)</f>
        <v>41.5</v>
      </c>
      <c r="AC79" s="6">
        <f t="shared" si="210"/>
        <v>5</v>
      </c>
      <c r="AD79" s="6">
        <f t="shared" si="210"/>
        <v>15</v>
      </c>
      <c r="AE79" s="16">
        <f>ROUND(((AC79/AB79)*100),0)</f>
        <v>12</v>
      </c>
      <c r="AF79" s="16">
        <f>ROUND(TRUNC((AD79/AB79)*100),0)</f>
        <v>36</v>
      </c>
      <c r="AG79" s="1">
        <f>ABS(AE79-AF79)</f>
        <v>24</v>
      </c>
      <c r="AH79" s="1">
        <f>AE79+AF79</f>
        <v>48</v>
      </c>
      <c r="AI79" s="16">
        <f>ROUND(((AG79/AH79)*100),0)</f>
        <v>50</v>
      </c>
      <c r="AJ79" s="16">
        <f>SUM(AI66:AI79)/14</f>
        <v>18.714285714285715</v>
      </c>
      <c r="AK79" s="16">
        <f>ROUND((AJ65+AJ79)/2,0)</f>
        <v>17</v>
      </c>
      <c r="AL79" s="16">
        <f>AB79*AK79</f>
        <v>705.5</v>
      </c>
      <c r="AM79" s="59">
        <f>ROUND(3*(SUM(U73:U79)/7),0)</f>
        <v>9</v>
      </c>
      <c r="AN79" s="58">
        <f>MIN($E$73:E78)+AM78</f>
        <v>137</v>
      </c>
      <c r="AQ79" s="1">
        <f>ROUND((C79+D79+E79)/3,1)</f>
        <v>125.8</v>
      </c>
      <c r="AR79" s="38">
        <f>ROUND((2*AQ78-C78),1)</f>
        <v>126.6</v>
      </c>
      <c r="AS79" s="39">
        <f>ROUND((2*AQ78-D78),1)</f>
        <v>129.6</v>
      </c>
      <c r="AT79" s="38">
        <f>ROUND((2*AQ78+C78-2*D78),1)</f>
        <v>132.6</v>
      </c>
      <c r="AU79" s="39">
        <f>ROUND((2*AQ78+D78-2*C78),1)</f>
        <v>123.6</v>
      </c>
      <c r="AV79" s="1">
        <f>IF(C79&gt;AT79,1,0)</f>
        <v>0</v>
      </c>
      <c r="AW79" s="1">
        <f>IF(D79&lt;AU79,1,0)</f>
        <v>0</v>
      </c>
      <c r="AX79" s="1">
        <f>MIN(D77,D78)</f>
        <v>127</v>
      </c>
      <c r="AY79" s="1">
        <f>MAX(C77,C78)</f>
        <v>132.5</v>
      </c>
      <c r="AZ79" s="73" t="s">
        <v>186</v>
      </c>
      <c r="BB79" s="41">
        <f t="shared" si="208"/>
        <v>135.822332588032</v>
      </c>
      <c r="BC79" s="3">
        <f>MIN($D$73:D79)</f>
        <v>124.5</v>
      </c>
      <c r="BD79" s="3">
        <f t="shared" si="207"/>
        <v>11.322332588031998</v>
      </c>
      <c r="BE79" s="3">
        <f>MIN(IF(MIN($D$73:D79)&lt;MIN($D$73:D78),BE78+0.02,BE78),0.2)</f>
        <v>0.06</v>
      </c>
      <c r="BF79" s="3">
        <f t="shared" si="209"/>
        <v>0.6793399552819198</v>
      </c>
      <c r="BJ79" s="5">
        <f>IF(E79&gt;E78,E79-E78,0)</f>
        <v>0</v>
      </c>
      <c r="BK79" s="5">
        <f>IF(E79&lt;E78,E78-E79,0)</f>
        <v>3</v>
      </c>
      <c r="BL79" s="3">
        <f t="shared" si="211"/>
        <v>0.2857142857142857</v>
      </c>
      <c r="BM79" s="3">
        <f t="shared" si="211"/>
        <v>1.1071428571428572</v>
      </c>
      <c r="BN79" s="30">
        <f>100-(100/(1+(BL79/BM79)))</f>
        <v>20.51282051282051</v>
      </c>
      <c r="BO79" s="21">
        <f>AVERAGE(E60:E79)+2*STDEVP(E60:E79)</f>
        <v>140.04844810976806</v>
      </c>
      <c r="BP79" s="21">
        <f>AVERAGE(E60:E79)</f>
        <v>132.8</v>
      </c>
      <c r="BQ79" s="21">
        <f>AVERAGE(E60:E79)-2*STDEVP(E60:E79)</f>
        <v>125.55155189023196</v>
      </c>
      <c r="BR79" s="19"/>
      <c r="BS79" s="21">
        <f>(BO79-BQ79)/BP79</f>
        <v>0.10916337514710915</v>
      </c>
      <c r="BT79" s="21">
        <f>(E79-BQ79)/(BO79-BQ79)</f>
        <v>-0.03804620533108931</v>
      </c>
      <c r="BU79" s="6">
        <f>(2*E79-C79-D79)/((C79-D79))*F79</f>
        <v>-1400652.142857143</v>
      </c>
      <c r="BV79" s="6">
        <f>(E79-B79)/((C79-D79))*F79</f>
        <v>-1680782.5714285714</v>
      </c>
      <c r="BW79" s="6">
        <f>(IF(E79&gt;=E78,BW78+F79,BW78-F79))/(1000000)</f>
        <v>-1.9609149424274792</v>
      </c>
      <c r="BX79" s="25">
        <f t="shared" si="212"/>
        <v>-713614.9299319729</v>
      </c>
      <c r="BY79" s="25">
        <f t="shared" si="212"/>
        <v>-709670.2455782313</v>
      </c>
      <c r="BZ79" s="26">
        <f t="shared" si="212"/>
        <v>-0.5247574037473954</v>
      </c>
      <c r="CA79" s="33">
        <f t="shared" si="213"/>
        <v>0.9387254901960784</v>
      </c>
      <c r="CB79" s="27">
        <f t="shared" si="213"/>
        <v>1.1043951354722101</v>
      </c>
      <c r="CC79" s="66">
        <f>(C78+D78+E78)/3</f>
        <v>128.33333333333334</v>
      </c>
      <c r="CD79" s="56">
        <f>CC79*2-C78</f>
        <v>126.66666666666669</v>
      </c>
      <c r="CE79" s="66">
        <f>CC79*2-D78</f>
        <v>129.66666666666669</v>
      </c>
      <c r="CF79" s="56">
        <f>CC79+CD79-CE79</f>
        <v>125.33333333333334</v>
      </c>
      <c r="CG79" s="66">
        <f>CC79-CD79+CE79</f>
        <v>131.33333333333334</v>
      </c>
      <c r="CH79" s="56">
        <f>CC79+CD79-CG79</f>
        <v>123.66666666666669</v>
      </c>
      <c r="CI79" s="66">
        <f>CC79-CD79+CG79</f>
        <v>133</v>
      </c>
      <c r="CJ79" s="56">
        <f>CC79-CG79+CF79</f>
        <v>122.33333333333334</v>
      </c>
      <c r="CK79" s="66">
        <f>CC79+CG79-CF79</f>
        <v>134.33333333333334</v>
      </c>
      <c r="CL79" s="84">
        <f t="shared" si="67"/>
        <v>137.525</v>
      </c>
      <c r="CM79" s="84">
        <f t="shared" si="68"/>
        <v>133.75</v>
      </c>
      <c r="CN79" s="84">
        <f t="shared" si="69"/>
        <v>126.425</v>
      </c>
      <c r="CO79" s="3">
        <f t="shared" si="70"/>
        <v>-3.9775540520467016</v>
      </c>
      <c r="CP79" s="3">
        <f t="shared" si="71"/>
        <v>-0.4512614942599273</v>
      </c>
      <c r="CQ79" s="3">
        <f t="shared" si="72"/>
        <v>13.86290331813329</v>
      </c>
      <c r="CR79">
        <f t="shared" si="73"/>
        <v>0.0009765821745873707</v>
      </c>
      <c r="CS79" s="3">
        <f t="shared" si="74"/>
        <v>13.862896003047354</v>
      </c>
    </row>
    <row r="80" spans="1:97" ht="12.75">
      <c r="A80" s="83">
        <v>37973</v>
      </c>
      <c r="B80" s="6">
        <v>124.5</v>
      </c>
      <c r="C80" s="6">
        <v>126.5</v>
      </c>
      <c r="D80" s="6">
        <v>124</v>
      </c>
      <c r="E80" s="6">
        <v>126</v>
      </c>
      <c r="F80" s="1">
        <v>2862239</v>
      </c>
      <c r="G80" s="4">
        <f>IF(E80&gt;B80,C80*2+D80+E80,0)</f>
        <v>503</v>
      </c>
      <c r="H80" s="4">
        <f>IF(E80&lt;B80,C80+D80*2+E80,0)</f>
        <v>0</v>
      </c>
      <c r="I80" s="4">
        <f>IF(E80=B80,C80+D80+E80*2,0)</f>
        <v>0</v>
      </c>
      <c r="J80" s="9">
        <f>(G79+H79+I79)/2-D79</f>
        <v>126.5</v>
      </c>
      <c r="K80" s="9">
        <f>(G79+H79+I79)/2-C79</f>
        <v>123</v>
      </c>
      <c r="L80" s="6">
        <f>C80*(1+2*((((C80-D80)/((C80+D80)/2))*1000)*0.001))</f>
        <v>131.54990019960078</v>
      </c>
      <c r="M80" s="6">
        <f>D80*(1-2*((((C80-D80)/((C80+D80)/2))*1000)*0.001))</f>
        <v>119.04990019960078</v>
      </c>
      <c r="N80" s="13">
        <f>AVERAGE(L61:L80)</f>
        <v>139.7616610251419</v>
      </c>
      <c r="O80" s="13">
        <f>AVERAGE(E61:E80)</f>
        <v>132.45</v>
      </c>
      <c r="P80" s="13">
        <f>AVERAGE(M61:M80)</f>
        <v>125.88666102514189</v>
      </c>
      <c r="Q80" s="1">
        <f>ABS(C80-D80)</f>
        <v>2.5</v>
      </c>
      <c r="R80" s="1">
        <f>ABS(C80-E79)</f>
        <v>1.5</v>
      </c>
      <c r="S80" s="1">
        <f>ABS(D80-E79)</f>
        <v>1</v>
      </c>
      <c r="T80" s="6">
        <f>IF(Q80&gt;R80,Q80,R80)</f>
        <v>2.5</v>
      </c>
      <c r="U80" s="6">
        <f>IF(S80&gt;T80,S80,T80)</f>
        <v>2.5</v>
      </c>
      <c r="V80" s="3">
        <f>IF(C80-C79&gt;0,C80-C79,0)</f>
        <v>0</v>
      </c>
      <c r="W80" s="3">
        <f>IF(D80&lt;D79,D79-D80,0)</f>
        <v>0.5</v>
      </c>
      <c r="X80" s="3">
        <f>IF(V80=W80,0,V80)</f>
        <v>0</v>
      </c>
      <c r="Y80" s="3">
        <f>IF(V80=W80,0,W80)</f>
        <v>0.5</v>
      </c>
      <c r="Z80" s="3">
        <f>IF(X80&gt;Y80,X80,0)</f>
        <v>0</v>
      </c>
      <c r="AA80" s="3">
        <f>IF(Y80&gt;X80,Y80,0)</f>
        <v>0.5</v>
      </c>
      <c r="AB80" s="30">
        <f>SUM(U67:U80)</f>
        <v>41.5</v>
      </c>
      <c r="AC80" s="6">
        <f>SUM(Z67:Z80)</f>
        <v>5</v>
      </c>
      <c r="AD80" s="6">
        <f>SUM(AA67:AA80)</f>
        <v>14.5</v>
      </c>
      <c r="AE80" s="16">
        <f>ROUND(((AC80/AB80)*100),0)</f>
        <v>12</v>
      </c>
      <c r="AF80" s="16">
        <f>ROUND(TRUNC((AD80/AB80)*100),0)</f>
        <v>34</v>
      </c>
      <c r="AG80" s="1">
        <f>ABS(AE80-AF80)</f>
        <v>22</v>
      </c>
      <c r="AH80" s="1">
        <f>AE80+AF80</f>
        <v>46</v>
      </c>
      <c r="AI80" s="16">
        <f>ROUND(((AG80/AH80)*100),0)</f>
        <v>48</v>
      </c>
      <c r="AJ80" s="16">
        <f>SUM(AI67:AI80)/14</f>
        <v>21.428571428571427</v>
      </c>
      <c r="AK80" s="16">
        <f>ROUND((AJ66+AJ80)/2,0)</f>
        <v>18</v>
      </c>
      <c r="AL80" s="16">
        <f>AB80*AK80</f>
        <v>747</v>
      </c>
      <c r="AM80" s="59">
        <f>ROUND(3*(SUM(U74:U80)/7),0)</f>
        <v>8</v>
      </c>
      <c r="AN80" s="58">
        <f>MIN($E$73:E79)+AM79</f>
        <v>134</v>
      </c>
      <c r="AQ80" s="1">
        <f>ROUND((C80+D80+E80)/3,1)</f>
        <v>125.5</v>
      </c>
      <c r="AR80" s="38">
        <f>ROUND((2*AQ79-C79),1)</f>
        <v>123.6</v>
      </c>
      <c r="AS80" s="39">
        <f>ROUND((2*AQ79-D79),1)</f>
        <v>127.1</v>
      </c>
      <c r="AT80" s="38">
        <f>ROUND((2*AQ79+C79-2*D79),1)</f>
        <v>130.6</v>
      </c>
      <c r="AU80" s="39">
        <f>ROUND((2*AQ79+D79-2*C79),1)</f>
        <v>120.1</v>
      </c>
      <c r="AV80" s="1">
        <f>IF(C80&gt;AT80,1,0)</f>
        <v>0</v>
      </c>
      <c r="AW80" s="1">
        <f>IF(D80&lt;AU80,1,0)</f>
        <v>0</v>
      </c>
      <c r="AX80" s="1">
        <f>MIN(D78,D79)</f>
        <v>124.5</v>
      </c>
      <c r="AY80" s="1">
        <f>MAX(C78,C79)</f>
        <v>130</v>
      </c>
      <c r="AZ80" s="73" t="s">
        <v>186</v>
      </c>
      <c r="BB80" s="41">
        <f>IF(BB79-BF79&lt;MAX(C79,C78),MAX(C79,C78),BB79-BF79)</f>
        <v>135.14299263275007</v>
      </c>
      <c r="BC80" s="3">
        <f>MIN($D$73:D80)</f>
        <v>124</v>
      </c>
      <c r="BD80" s="3">
        <f>BB80-BC80</f>
        <v>11.142992632750065</v>
      </c>
      <c r="BE80" s="3">
        <f>MIN(IF(MIN($D$73:D80)&lt;MIN($D$73:D79),BE79+0.02,BE79),0.2)</f>
        <v>0.08</v>
      </c>
      <c r="BF80" s="3">
        <f t="shared" si="209"/>
        <v>0.8914394106200052</v>
      </c>
      <c r="BJ80" s="5">
        <f>IF(E80&gt;E79,E80-E79,0)</f>
        <v>1</v>
      </c>
      <c r="BK80" s="5">
        <f>IF(E80&lt;E79,E79-E80,0)</f>
        <v>0</v>
      </c>
      <c r="BL80" s="3">
        <f>SUM(BJ67:BJ80)/14</f>
        <v>0.35714285714285715</v>
      </c>
      <c r="BM80" s="3">
        <f>SUM(BK67:BK80)/14</f>
        <v>1.0714285714285714</v>
      </c>
      <c r="BN80" s="30">
        <f>100-(100/(1+(BL80/BM80)))</f>
        <v>25.000000000000014</v>
      </c>
      <c r="BO80" s="21">
        <f>AVERAGE(E61:E80)+2*STDEVP(E61:E80)</f>
        <v>140.27879301041992</v>
      </c>
      <c r="BP80" s="21">
        <f>AVERAGE(E61:E80)</f>
        <v>132.45</v>
      </c>
      <c r="BQ80" s="21">
        <f>AVERAGE(E61:E80)-2*STDEVP(E61:E80)</f>
        <v>124.62120698958006</v>
      </c>
      <c r="BR80" s="19"/>
      <c r="BS80" s="21">
        <f>(BO80-BQ80)/BP80</f>
        <v>0.11821506999501592</v>
      </c>
      <c r="BT80" s="21">
        <f>(E80-BQ80)/(BO80-BQ80)</f>
        <v>0.0880591049338513</v>
      </c>
      <c r="BU80" s="6">
        <f>(2*E80-C80-D80)/((C80-D80))*F80</f>
        <v>1717343.4</v>
      </c>
      <c r="BV80" s="6">
        <f>(E80-B80)/((C80-D80))*F80</f>
        <v>1717343.4</v>
      </c>
      <c r="BW80" s="6">
        <f>(IF(E80&gt;=E79,BW79+F80,BW79-F80))/(1000000)</f>
        <v>2.8622370390850578</v>
      </c>
      <c r="BX80" s="25">
        <f>AVERAGE(BU67:BU80)</f>
        <v>-570406.1013605443</v>
      </c>
      <c r="BY80" s="25">
        <f>AVERAGE(BV67:BV80)</f>
        <v>-545919.9741496599</v>
      </c>
      <c r="BZ80" s="26">
        <f>AVERAGE(BW67:BW80)</f>
        <v>-0.21760473904311792</v>
      </c>
      <c r="CA80" s="33">
        <f>AVERAGE(E78:E80)/AVERAGE(E62:E68)</f>
        <v>0.926974143955276</v>
      </c>
      <c r="CB80" s="27">
        <f>AVERAGE(F78:F80)/AVERAGE(F62:F68)</f>
        <v>1.1430863921569223</v>
      </c>
      <c r="CC80" s="66">
        <f>(C79+D79+E79)/3</f>
        <v>125.83333333333333</v>
      </c>
      <c r="CD80" s="56">
        <f>CC80*2-C79</f>
        <v>123.66666666666666</v>
      </c>
      <c r="CE80" s="66">
        <f>CC80*2-D79</f>
        <v>127.16666666666666</v>
      </c>
      <c r="CF80" s="56">
        <f>CC80+CD80-CE80</f>
        <v>122.33333333333334</v>
      </c>
      <c r="CG80" s="66">
        <f>CC80-CD80+CE80</f>
        <v>129.33333333333331</v>
      </c>
      <c r="CH80" s="56">
        <f>CC80+CD80-CG80</f>
        <v>120.16666666666669</v>
      </c>
      <c r="CI80" s="66">
        <f>CC80-CD80+CG80</f>
        <v>131.5</v>
      </c>
      <c r="CJ80" s="56">
        <f>CC80-CG80+CF80</f>
        <v>118.83333333333336</v>
      </c>
      <c r="CK80" s="66">
        <f>CC80+CG80-CF80</f>
        <v>132.8333333333333</v>
      </c>
      <c r="CL80" s="84">
        <f t="shared" si="67"/>
        <v>137.525</v>
      </c>
      <c r="CM80" s="84">
        <f t="shared" si="68"/>
        <v>133.75</v>
      </c>
      <c r="CN80" s="84">
        <f t="shared" si="69"/>
        <v>125.475</v>
      </c>
      <c r="CO80" s="3">
        <f t="shared" si="70"/>
        <v>-4.276706104301338</v>
      </c>
      <c r="CP80" s="3">
        <f t="shared" si="71"/>
        <v>-0.3507675510033367</v>
      </c>
      <c r="CQ80" s="3">
        <f t="shared" si="72"/>
        <v>15.651972168263203</v>
      </c>
      <c r="CR80">
        <f t="shared" si="73"/>
        <v>0.0003992247229968148</v>
      </c>
      <c r="CS80" s="3">
        <f t="shared" si="74"/>
        <v>15.651190699372819</v>
      </c>
    </row>
    <row r="81" spans="1:89" ht="12.75">
      <c r="A81" s="2"/>
      <c r="J81" s="9">
        <f>(G80+H80+I80)/2-D80</f>
        <v>127.5</v>
      </c>
      <c r="K81" s="9">
        <f>(G80+H80+I80)/2-C80</f>
        <v>125</v>
      </c>
      <c r="U81" s="6"/>
      <c r="V81" s="3"/>
      <c r="W81" s="3"/>
      <c r="X81" s="3"/>
      <c r="Y81" s="3"/>
      <c r="Z81" s="3"/>
      <c r="AA81" s="3"/>
      <c r="AB81" s="30"/>
      <c r="AC81" s="6"/>
      <c r="AD81" s="6"/>
      <c r="AQ81" s="1">
        <f>ROUND((C81+D81+E81)/3,1)</f>
        <v>0</v>
      </c>
      <c r="AR81" s="38">
        <f>ROUND((2*AQ80-C80),1)</f>
        <v>124.5</v>
      </c>
      <c r="AS81" s="39">
        <f>ROUND((2*AQ80-D80),1)</f>
        <v>127</v>
      </c>
      <c r="AT81" s="38">
        <f>ROUND((2*AQ80+C80-2*D80),1)</f>
        <v>129.5</v>
      </c>
      <c r="AU81" s="39">
        <f>ROUND((2*AQ80+D80-2*C80),1)</f>
        <v>122</v>
      </c>
      <c r="AV81" s="1"/>
      <c r="AX81" s="1">
        <f>MIN(D79,D80)</f>
        <v>124</v>
      </c>
      <c r="AY81" s="1">
        <f>MAX(C79,C80)</f>
        <v>128</v>
      </c>
      <c r="AZ81" s="78" t="s">
        <v>76</v>
      </c>
      <c r="BB81" s="41">
        <f>IF(BB80-BF80&lt;MAX(C80,C79),MAX(C80,C79),BB80-BF80)</f>
        <v>134.25155322213007</v>
      </c>
      <c r="BJ81" s="5"/>
      <c r="BK81" s="5"/>
      <c r="BL81" s="3"/>
      <c r="BM81" s="3"/>
      <c r="BO81" s="21"/>
      <c r="BP81" s="21"/>
      <c r="BQ81" s="21"/>
      <c r="BR81" s="19"/>
      <c r="BS81" s="21"/>
      <c r="BT81" s="21"/>
      <c r="BX81" s="25"/>
      <c r="BY81" s="25"/>
      <c r="BZ81" s="26"/>
      <c r="CC81" s="66">
        <f>(C80+D80+E80)/3</f>
        <v>125.5</v>
      </c>
      <c r="CD81" s="56">
        <f>CC81*2-C80</f>
        <v>124.5</v>
      </c>
      <c r="CE81" s="66">
        <f>CC81*2-D80</f>
        <v>127</v>
      </c>
      <c r="CF81" s="56">
        <f>CC81+CD81-CE81</f>
        <v>123</v>
      </c>
      <c r="CG81" s="66">
        <f>CC81-CD81+CE81</f>
        <v>128</v>
      </c>
      <c r="CH81" s="56">
        <f>CC81+CD81-CG81</f>
        <v>122</v>
      </c>
      <c r="CI81" s="66">
        <f>CC81-CD81+CG81</f>
        <v>129</v>
      </c>
      <c r="CJ81" s="56">
        <f>CC81-CG81+CF81</f>
        <v>120.5</v>
      </c>
      <c r="CK81" s="66">
        <f>CC81+CG81-CF81</f>
        <v>130.5</v>
      </c>
    </row>
    <row r="82" spans="1:78" ht="12.75">
      <c r="A82" s="2"/>
      <c r="N82" s="13" t="s">
        <v>196</v>
      </c>
      <c r="U82" s="6"/>
      <c r="V82" s="3"/>
      <c r="W82" s="3"/>
      <c r="X82" s="3"/>
      <c r="Y82" s="3"/>
      <c r="Z82" s="3"/>
      <c r="AA82" s="3"/>
      <c r="AB82" s="30"/>
      <c r="AC82" s="6"/>
      <c r="AD82" s="6"/>
      <c r="AV82" s="1"/>
      <c r="AX82" s="1"/>
      <c r="AY82" s="1"/>
      <c r="AZ82" s="73" t="s">
        <v>186</v>
      </c>
      <c r="BB82" s="41"/>
      <c r="BJ82" s="5"/>
      <c r="BK82" s="5"/>
      <c r="BL82" s="3"/>
      <c r="BM82" s="3"/>
      <c r="BO82" s="21"/>
      <c r="BP82" s="21"/>
      <c r="BQ82" s="21"/>
      <c r="BR82" s="19"/>
      <c r="BS82" s="21"/>
      <c r="BT82" s="21"/>
      <c r="BX82" s="25"/>
      <c r="BY82" s="25"/>
      <c r="BZ82" s="26"/>
    </row>
    <row r="83" spans="1:78" ht="12.75">
      <c r="A83" s="2"/>
      <c r="U83" s="6"/>
      <c r="V83" s="3"/>
      <c r="W83" s="3"/>
      <c r="X83" s="3"/>
      <c r="Y83" s="3"/>
      <c r="Z83" s="3"/>
      <c r="AA83" s="3"/>
      <c r="AB83" s="30"/>
      <c r="AC83" s="6"/>
      <c r="AD83" s="6"/>
      <c r="AV83" s="1"/>
      <c r="AX83" s="1"/>
      <c r="AY83" s="1"/>
      <c r="AZ83" s="75" t="s">
        <v>77</v>
      </c>
      <c r="BB83" s="41"/>
      <c r="BJ83" s="5"/>
      <c r="BK83" s="5"/>
      <c r="BL83" s="3"/>
      <c r="BM83" s="3"/>
      <c r="BO83" s="21"/>
      <c r="BP83" s="21"/>
      <c r="BQ83" s="21"/>
      <c r="BR83" s="19"/>
      <c r="BS83" s="21"/>
      <c r="BT83" s="21"/>
      <c r="BX83" s="25"/>
      <c r="BY83" s="25"/>
      <c r="BZ83" s="26"/>
    </row>
    <row r="84" spans="1:78" ht="12.75">
      <c r="A84" s="2"/>
      <c r="U84" s="6"/>
      <c r="V84" s="3"/>
      <c r="W84" s="3"/>
      <c r="X84" s="3"/>
      <c r="Y84" s="3"/>
      <c r="Z84" s="3"/>
      <c r="AA84" s="3"/>
      <c r="AB84" s="30"/>
      <c r="AC84" s="6"/>
      <c r="AD84" s="6"/>
      <c r="AV84" s="1"/>
      <c r="AX84" s="1"/>
      <c r="AY84" s="1"/>
      <c r="AZ84" s="76"/>
      <c r="BB84" s="41"/>
      <c r="BJ84" s="5"/>
      <c r="BK84" s="5"/>
      <c r="BL84" s="3"/>
      <c r="BM84" s="3"/>
      <c r="BO84" s="21"/>
      <c r="BP84" s="21"/>
      <c r="BQ84" s="21"/>
      <c r="BR84" s="19"/>
      <c r="BS84" s="21"/>
      <c r="BT84" s="21"/>
      <c r="BX84" s="25"/>
      <c r="BY84" s="25"/>
      <c r="BZ84" s="26"/>
    </row>
    <row r="85" spans="1:78" ht="12.75">
      <c r="A85" s="2"/>
      <c r="U85" s="6"/>
      <c r="V85" s="3"/>
      <c r="W85" s="3"/>
      <c r="X85" s="3"/>
      <c r="Y85" s="3"/>
      <c r="Z85" s="3"/>
      <c r="AA85" s="3"/>
      <c r="AB85" s="30"/>
      <c r="AC85" s="6"/>
      <c r="AD85" s="6"/>
      <c r="AV85" s="1"/>
      <c r="AX85" s="1"/>
      <c r="AY85" s="1"/>
      <c r="AZ85" s="76"/>
      <c r="BB85" s="41"/>
      <c r="BJ85" s="5"/>
      <c r="BK85" s="5"/>
      <c r="BL85" s="3"/>
      <c r="BM85" s="3"/>
      <c r="BO85" s="21"/>
      <c r="BP85" s="21"/>
      <c r="BQ85" s="21"/>
      <c r="BR85" s="19"/>
      <c r="BS85" s="21"/>
      <c r="BT85" s="21"/>
      <c r="BX85" s="25"/>
      <c r="BY85" s="25"/>
      <c r="BZ85" s="26"/>
    </row>
    <row r="86" spans="21:78" ht="12.75">
      <c r="U86" s="6"/>
      <c r="V86" s="3"/>
      <c r="W86" s="3"/>
      <c r="X86" s="3"/>
      <c r="Y86" s="3"/>
      <c r="Z86" s="3"/>
      <c r="AA86" s="3"/>
      <c r="AB86" s="30"/>
      <c r="AC86" s="6"/>
      <c r="AD86" s="6"/>
      <c r="AV86" s="1"/>
      <c r="AX86" s="1"/>
      <c r="AY86" s="1"/>
      <c r="AZ86" s="76"/>
      <c r="BB86" s="41"/>
      <c r="BJ86" s="5"/>
      <c r="BK86" s="5"/>
      <c r="BL86" s="3"/>
      <c r="BM86" s="3"/>
      <c r="BO86" s="21"/>
      <c r="BP86" s="21"/>
      <c r="BQ86" s="21"/>
      <c r="BR86" s="19"/>
      <c r="BS86" s="21"/>
      <c r="BT86" s="21"/>
      <c r="BX86" s="25"/>
      <c r="BY86" s="25"/>
      <c r="BZ86" s="26"/>
    </row>
    <row r="87" spans="21:78" ht="12.75">
      <c r="U87" s="6"/>
      <c r="V87" s="3"/>
      <c r="W87" s="3"/>
      <c r="X87" s="3"/>
      <c r="Y87" s="3"/>
      <c r="Z87" s="3"/>
      <c r="AA87" s="3"/>
      <c r="AB87" s="30"/>
      <c r="AC87" s="6"/>
      <c r="AD87" s="6"/>
      <c r="AV87" s="1"/>
      <c r="AX87" s="1"/>
      <c r="AY87" s="1"/>
      <c r="AZ87" s="76"/>
      <c r="BB87" s="41"/>
      <c r="BJ87" s="5"/>
      <c r="BK87" s="5"/>
      <c r="BL87" s="3"/>
      <c r="BM87" s="3"/>
      <c r="BO87" s="21"/>
      <c r="BP87" s="21"/>
      <c r="BQ87" s="21"/>
      <c r="BR87" s="19"/>
      <c r="BS87" s="21"/>
      <c r="BT87" s="21"/>
      <c r="BX87" s="25"/>
      <c r="BY87" s="25"/>
      <c r="BZ87" s="26"/>
    </row>
    <row r="88" spans="21:78" ht="12.75">
      <c r="U88" s="6"/>
      <c r="V88" s="3"/>
      <c r="W88" s="3"/>
      <c r="X88" s="3"/>
      <c r="Y88" s="3"/>
      <c r="Z88" s="3"/>
      <c r="AA88" s="3"/>
      <c r="AB88" s="30"/>
      <c r="AC88" s="6"/>
      <c r="AD88" s="6"/>
      <c r="AV88" s="1"/>
      <c r="AX88" s="1"/>
      <c r="AY88" s="1"/>
      <c r="AZ88" s="76"/>
      <c r="BB88" s="41"/>
      <c r="BJ88" s="5"/>
      <c r="BK88" s="5"/>
      <c r="BL88" s="3"/>
      <c r="BM88" s="3"/>
      <c r="BO88" s="21"/>
      <c r="BP88" s="21"/>
      <c r="BQ88" s="21"/>
      <c r="BR88" s="19"/>
      <c r="BS88" s="21"/>
      <c r="BT88" s="21"/>
      <c r="BX88" s="25"/>
      <c r="BY88" s="25"/>
      <c r="BZ88" s="26"/>
    </row>
    <row r="89" spans="21:78" ht="12.75">
      <c r="U89" s="6"/>
      <c r="V89" s="3"/>
      <c r="W89" s="3"/>
      <c r="X89" s="3"/>
      <c r="Y89" s="3"/>
      <c r="Z89" s="3"/>
      <c r="AA89" s="3"/>
      <c r="AB89" s="30"/>
      <c r="AC89" s="6"/>
      <c r="AD89" s="6"/>
      <c r="AV89" s="1"/>
      <c r="AX89" s="1"/>
      <c r="AY89" s="1"/>
      <c r="AZ89" s="76"/>
      <c r="BB89" s="41"/>
      <c r="BJ89" s="5"/>
      <c r="BK89" s="5"/>
      <c r="BL89" s="3"/>
      <c r="BM89" s="3"/>
      <c r="BO89" s="21"/>
      <c r="BP89" s="21"/>
      <c r="BQ89" s="21"/>
      <c r="BR89" s="19"/>
      <c r="BS89" s="21"/>
      <c r="BT89" s="21"/>
      <c r="BX89" s="25"/>
      <c r="BY89" s="25"/>
      <c r="BZ89" s="26"/>
    </row>
    <row r="90" spans="21:78" ht="12.75">
      <c r="U90" s="6"/>
      <c r="V90" s="3"/>
      <c r="W90" s="3"/>
      <c r="X90" s="3"/>
      <c r="Y90" s="3"/>
      <c r="Z90" s="3"/>
      <c r="AA90" s="3"/>
      <c r="AB90" s="30"/>
      <c r="AC90" s="6"/>
      <c r="AD90" s="6"/>
      <c r="AV90" s="1"/>
      <c r="AX90" s="1"/>
      <c r="AY90" s="1"/>
      <c r="AZ90" s="76"/>
      <c r="BB90" s="41"/>
      <c r="BJ90" s="5"/>
      <c r="BK90" s="5"/>
      <c r="BL90" s="3"/>
      <c r="BM90" s="3"/>
      <c r="BO90" s="21"/>
      <c r="BP90" s="21"/>
      <c r="BQ90" s="21"/>
      <c r="BR90" s="19"/>
      <c r="BS90" s="21"/>
      <c r="BT90" s="21"/>
      <c r="BX90" s="25"/>
      <c r="BY90" s="25"/>
      <c r="BZ90" s="26"/>
    </row>
    <row r="91" spans="21:78" ht="12.75">
      <c r="U91" s="6"/>
      <c r="V91" s="3"/>
      <c r="W91" s="3"/>
      <c r="X91" s="3"/>
      <c r="Y91" s="3"/>
      <c r="Z91" s="3"/>
      <c r="AA91" s="3"/>
      <c r="AB91" s="30"/>
      <c r="AC91" s="6"/>
      <c r="AD91" s="6"/>
      <c r="AV91" s="1"/>
      <c r="AX91" s="1"/>
      <c r="AY91" s="1"/>
      <c r="AZ91" s="76"/>
      <c r="BB91" s="41"/>
      <c r="BJ91" s="5"/>
      <c r="BK91" s="5"/>
      <c r="BL91" s="3"/>
      <c r="BM91" s="3"/>
      <c r="BO91" s="21"/>
      <c r="BP91" s="21"/>
      <c r="BQ91" s="21"/>
      <c r="BR91" s="19"/>
      <c r="BS91" s="21"/>
      <c r="BT91" s="21"/>
      <c r="BX91" s="25"/>
      <c r="BY91" s="25"/>
      <c r="BZ91" s="26"/>
    </row>
    <row r="92" spans="21:78" ht="12.75">
      <c r="U92" s="6"/>
      <c r="V92" s="3"/>
      <c r="W92" s="3"/>
      <c r="X92" s="3"/>
      <c r="Y92" s="3"/>
      <c r="Z92" s="3"/>
      <c r="AA92" s="3"/>
      <c r="AB92" s="30"/>
      <c r="AC92" s="6"/>
      <c r="AD92" s="6"/>
      <c r="AV92" s="1"/>
      <c r="AX92" s="1"/>
      <c r="AY92" s="1"/>
      <c r="AZ92" s="76"/>
      <c r="BB92" s="41"/>
      <c r="BJ92" s="5"/>
      <c r="BK92" s="5"/>
      <c r="BL92" s="3"/>
      <c r="BM92" s="3"/>
      <c r="BO92" s="21"/>
      <c r="BP92" s="21"/>
      <c r="BQ92" s="21"/>
      <c r="BR92" s="19"/>
      <c r="BS92" s="21"/>
      <c r="BT92" s="21"/>
      <c r="BX92" s="25"/>
      <c r="BY92" s="25"/>
      <c r="BZ92" s="26"/>
    </row>
    <row r="93" spans="21:78" ht="12.75">
      <c r="U93" s="6"/>
      <c r="V93" s="3"/>
      <c r="W93" s="3"/>
      <c r="X93" s="3"/>
      <c r="Y93" s="3"/>
      <c r="Z93" s="3"/>
      <c r="AA93" s="3"/>
      <c r="AB93" s="30"/>
      <c r="AC93" s="6"/>
      <c r="AD93" s="6"/>
      <c r="AV93" s="1"/>
      <c r="AX93" s="1"/>
      <c r="AY93" s="1"/>
      <c r="AZ93" s="76"/>
      <c r="BB93" s="41"/>
      <c r="BJ93" s="5"/>
      <c r="BK93" s="5"/>
      <c r="BL93" s="3"/>
      <c r="BM93" s="3"/>
      <c r="BO93" s="21"/>
      <c r="BP93" s="21"/>
      <c r="BQ93" s="21"/>
      <c r="BR93" s="19"/>
      <c r="BS93" s="21"/>
      <c r="BT93" s="21"/>
      <c r="BX93" s="25"/>
      <c r="BY93" s="25"/>
      <c r="BZ93" s="26"/>
    </row>
    <row r="94" spans="21:78" ht="12.75">
      <c r="U94" s="6"/>
      <c r="V94" s="3"/>
      <c r="W94" s="3"/>
      <c r="X94" s="3"/>
      <c r="Y94" s="3"/>
      <c r="Z94" s="3"/>
      <c r="AA94" s="3"/>
      <c r="AB94" s="30"/>
      <c r="AC94" s="6"/>
      <c r="AD94" s="6"/>
      <c r="AV94" s="1"/>
      <c r="AX94" s="1"/>
      <c r="AY94" s="1"/>
      <c r="AZ94" s="76"/>
      <c r="BB94" s="41"/>
      <c r="BJ94" s="5"/>
      <c r="BK94" s="5"/>
      <c r="BL94" s="3"/>
      <c r="BM94" s="3"/>
      <c r="BO94" s="21"/>
      <c r="BP94" s="21"/>
      <c r="BQ94" s="21"/>
      <c r="BR94" s="19"/>
      <c r="BS94" s="21"/>
      <c r="BT94" s="21"/>
      <c r="BX94" s="25"/>
      <c r="BY94" s="25"/>
      <c r="BZ94" s="26"/>
    </row>
    <row r="95" spans="21:78" ht="12.75">
      <c r="U95" s="6"/>
      <c r="V95" s="3"/>
      <c r="W95" s="3"/>
      <c r="X95" s="3"/>
      <c r="Y95" s="3"/>
      <c r="Z95" s="3"/>
      <c r="AA95" s="3"/>
      <c r="AB95" s="30"/>
      <c r="AC95" s="6"/>
      <c r="AD95" s="6"/>
      <c r="AV95" s="1"/>
      <c r="AX95" s="1"/>
      <c r="AY95" s="1"/>
      <c r="AZ95" s="76"/>
      <c r="BB95" s="41"/>
      <c r="BJ95" s="5"/>
      <c r="BK95" s="5"/>
      <c r="BL95" s="3"/>
      <c r="BM95" s="3"/>
      <c r="BO95" s="21"/>
      <c r="BP95" s="21"/>
      <c r="BQ95" s="21"/>
      <c r="BR95" s="19"/>
      <c r="BS95" s="21"/>
      <c r="BT95" s="21"/>
      <c r="BX95" s="25"/>
      <c r="BY95" s="25"/>
      <c r="BZ95" s="26"/>
    </row>
    <row r="96" spans="21:78" ht="12.75">
      <c r="U96" s="6"/>
      <c r="V96" s="3"/>
      <c r="W96" s="3"/>
      <c r="X96" s="3"/>
      <c r="Y96" s="3"/>
      <c r="Z96" s="3"/>
      <c r="AA96" s="3"/>
      <c r="AB96" s="30"/>
      <c r="AC96" s="6"/>
      <c r="AD96" s="6"/>
      <c r="AV96" s="1"/>
      <c r="AX96" s="1"/>
      <c r="AY96" s="1"/>
      <c r="AZ96" s="76"/>
      <c r="BB96" s="41"/>
      <c r="BJ96" s="5"/>
      <c r="BK96" s="5"/>
      <c r="BL96" s="3"/>
      <c r="BM96" s="3"/>
      <c r="BO96" s="21"/>
      <c r="BP96" s="21"/>
      <c r="BQ96" s="21"/>
      <c r="BR96" s="19"/>
      <c r="BS96" s="21"/>
      <c r="BT96" s="21"/>
      <c r="BX96" s="25"/>
      <c r="BY96" s="25"/>
      <c r="BZ96" s="26"/>
    </row>
    <row r="97" spans="21:78" ht="12.75">
      <c r="U97" s="6"/>
      <c r="V97" s="3"/>
      <c r="W97" s="3"/>
      <c r="X97" s="3"/>
      <c r="Y97" s="3"/>
      <c r="Z97" s="3"/>
      <c r="AA97" s="3"/>
      <c r="AB97" s="30"/>
      <c r="AC97" s="6"/>
      <c r="AD97" s="6"/>
      <c r="AV97" s="1"/>
      <c r="AX97" s="1"/>
      <c r="AY97" s="1"/>
      <c r="AZ97" s="76"/>
      <c r="BB97" s="41"/>
      <c r="BJ97" s="5"/>
      <c r="BK97" s="5"/>
      <c r="BL97" s="3"/>
      <c r="BM97" s="3"/>
      <c r="BO97" s="21"/>
      <c r="BP97" s="21"/>
      <c r="BQ97" s="21"/>
      <c r="BR97" s="19"/>
      <c r="BS97" s="21"/>
      <c r="BT97" s="21"/>
      <c r="BX97" s="25"/>
      <c r="BY97" s="25"/>
      <c r="BZ97" s="26"/>
    </row>
    <row r="98" spans="21:78" ht="12.75">
      <c r="U98" s="6"/>
      <c r="V98" s="3"/>
      <c r="W98" s="3"/>
      <c r="X98" s="3"/>
      <c r="Y98" s="3"/>
      <c r="Z98" s="3"/>
      <c r="AA98" s="3"/>
      <c r="AB98" s="30"/>
      <c r="AC98" s="6"/>
      <c r="AD98" s="6"/>
      <c r="AV98" s="1"/>
      <c r="AX98" s="1"/>
      <c r="AY98" s="1"/>
      <c r="AZ98" s="76"/>
      <c r="BB98" s="41"/>
      <c r="BJ98" s="5"/>
      <c r="BK98" s="5"/>
      <c r="BL98" s="3"/>
      <c r="BM98" s="3"/>
      <c r="BO98" s="21"/>
      <c r="BP98" s="21"/>
      <c r="BQ98" s="21"/>
      <c r="BR98" s="19"/>
      <c r="BS98" s="21"/>
      <c r="BT98" s="21"/>
      <c r="BX98" s="25"/>
      <c r="BY98" s="25"/>
      <c r="BZ98" s="26"/>
    </row>
    <row r="99" spans="48:54" ht="12.75">
      <c r="AV99" s="1"/>
      <c r="AX99" s="1"/>
      <c r="AY99" s="1"/>
      <c r="AZ99" s="76"/>
      <c r="BB99" s="41"/>
    </row>
    <row r="100" spans="48:54" ht="12.75">
      <c r="AV100" s="1"/>
      <c r="AX100" s="1"/>
      <c r="AY100" s="1"/>
      <c r="AZ100" s="76"/>
      <c r="BB100" s="41"/>
    </row>
    <row r="101" spans="48:54" ht="12.75">
      <c r="AV101" s="1"/>
      <c r="AX101" s="1"/>
      <c r="AY101" s="1"/>
      <c r="AZ101" s="76"/>
      <c r="BB101" s="41"/>
    </row>
    <row r="102" spans="48:54" ht="12.75">
      <c r="AV102" s="1"/>
      <c r="AX102" s="1"/>
      <c r="AY102" s="1"/>
      <c r="AZ102" s="76"/>
      <c r="BB102" s="41"/>
    </row>
    <row r="103" spans="48:54" ht="12.75">
      <c r="AV103" s="1"/>
      <c r="AX103" s="1"/>
      <c r="AY103" s="1"/>
      <c r="AZ103" s="76"/>
      <c r="BB103" s="41"/>
    </row>
    <row r="104" spans="48:54" ht="12.75">
      <c r="AV104" s="1"/>
      <c r="AX104" s="1"/>
      <c r="AY104" s="1"/>
      <c r="AZ104" s="76"/>
      <c r="BB104" s="41"/>
    </row>
    <row r="105" spans="48:54" ht="12.75">
      <c r="AV105" s="1"/>
      <c r="AX105" s="1"/>
      <c r="AY105" s="1"/>
      <c r="AZ105" s="76"/>
      <c r="BB105" s="41"/>
    </row>
    <row r="106" spans="48:54" ht="12.75">
      <c r="AV106" s="1"/>
      <c r="AX106" s="1"/>
      <c r="AY106" s="1"/>
      <c r="AZ106" s="76"/>
      <c r="BB106" s="41"/>
    </row>
    <row r="107" spans="48:54" ht="12.75">
      <c r="AV107" s="1"/>
      <c r="AX107" s="1"/>
      <c r="AY107" s="1"/>
      <c r="AZ107" s="76"/>
      <c r="BB107" s="41"/>
    </row>
    <row r="108" spans="48:54" ht="12.75">
      <c r="AV108" s="1"/>
      <c r="AX108" s="1"/>
      <c r="AY108" s="1"/>
      <c r="AZ108" s="76"/>
      <c r="BB108" s="41"/>
    </row>
    <row r="109" spans="48:54" ht="12.75">
      <c r="AV109" s="1"/>
      <c r="AX109" s="1"/>
      <c r="AY109" s="1"/>
      <c r="AZ109" s="76"/>
      <c r="BB109" s="41"/>
    </row>
    <row r="110" spans="48:54" ht="12.75">
      <c r="AV110" s="1"/>
      <c r="AX110" s="1"/>
      <c r="AY110" s="1"/>
      <c r="AZ110" s="76"/>
      <c r="BB110" s="41"/>
    </row>
    <row r="111" spans="48:54" ht="12.75">
      <c r="AV111" s="1"/>
      <c r="AX111" s="1"/>
      <c r="AY111" s="1"/>
      <c r="AZ111" s="76"/>
      <c r="BB111" s="41"/>
    </row>
    <row r="112" spans="48:54" ht="12.75">
      <c r="AV112" s="1"/>
      <c r="AX112" s="1"/>
      <c r="AY112" s="1"/>
      <c r="AZ112" s="76"/>
      <c r="BB112" s="41"/>
    </row>
    <row r="113" spans="48:54" ht="12.75">
      <c r="AV113" s="1"/>
      <c r="AX113" s="1"/>
      <c r="AY113" s="1"/>
      <c r="AZ113" s="76"/>
      <c r="BB113" s="41"/>
    </row>
    <row r="114" spans="48:54" ht="12.75">
      <c r="AV114" s="1"/>
      <c r="AX114" s="1"/>
      <c r="AY114" s="1"/>
      <c r="AZ114" s="76"/>
      <c r="BB114" s="41"/>
    </row>
    <row r="115" spans="48:54" ht="12.75">
      <c r="AV115" s="1"/>
      <c r="AX115" s="1"/>
      <c r="AY115" s="1"/>
      <c r="AZ115" s="76"/>
      <c r="BB115" s="41"/>
    </row>
    <row r="116" spans="48:54" ht="12.75">
      <c r="AV116" s="1"/>
      <c r="AX116" s="1"/>
      <c r="AY116" s="1"/>
      <c r="AZ116" s="76"/>
      <c r="BB116" s="41"/>
    </row>
    <row r="117" spans="48:54" ht="12.75">
      <c r="AV117" s="1"/>
      <c r="AX117" s="1"/>
      <c r="AY117" s="1"/>
      <c r="AZ117" s="76"/>
      <c r="BB117" s="41"/>
    </row>
    <row r="118" spans="48:54" ht="12.75">
      <c r="AV118" s="1"/>
      <c r="AX118" s="1"/>
      <c r="AY118" s="1"/>
      <c r="AZ118" s="76"/>
      <c r="BB118" s="41"/>
    </row>
    <row r="119" spans="48:54" ht="12.75">
      <c r="AV119" s="1"/>
      <c r="AX119" s="1"/>
      <c r="AY119" s="1"/>
      <c r="AZ119" s="76"/>
      <c r="BB119" s="41"/>
    </row>
    <row r="120" spans="48:54" ht="12.75">
      <c r="AV120" s="1"/>
      <c r="AX120" s="1"/>
      <c r="AY120" s="1"/>
      <c r="AZ120" s="76"/>
      <c r="BB120" s="41"/>
    </row>
    <row r="121" spans="48:54" ht="12.75">
      <c r="AV121" s="1"/>
      <c r="AX121" s="1"/>
      <c r="AY121" s="1"/>
      <c r="AZ121" s="76"/>
      <c r="BB121" s="41"/>
    </row>
    <row r="122" spans="48:54" ht="12.75">
      <c r="AV122" s="1"/>
      <c r="AX122" s="1"/>
      <c r="AY122" s="1"/>
      <c r="AZ122" s="76"/>
      <c r="BB122" s="41"/>
    </row>
    <row r="123" spans="48:54" ht="12.75">
      <c r="AV123" s="1"/>
      <c r="AX123" s="1"/>
      <c r="AY123" s="1"/>
      <c r="AZ123" s="76"/>
      <c r="BB123" s="41"/>
    </row>
    <row r="124" spans="48:54" ht="12.75">
      <c r="AV124" s="1"/>
      <c r="AX124" s="1"/>
      <c r="AY124" s="1"/>
      <c r="AZ124" s="76"/>
      <c r="BB124" s="41"/>
    </row>
    <row r="125" spans="48:54" ht="12.75">
      <c r="AV125" s="1"/>
      <c r="AX125" s="1"/>
      <c r="AY125" s="1"/>
      <c r="AZ125" s="76"/>
      <c r="BB125" s="41"/>
    </row>
    <row r="126" spans="48:54" ht="12.75">
      <c r="AV126" s="1"/>
      <c r="AX126" s="1"/>
      <c r="AY126" s="1"/>
      <c r="AZ126" s="76"/>
      <c r="BB126" s="41"/>
    </row>
    <row r="127" spans="48:54" ht="12.75">
      <c r="AV127" s="1"/>
      <c r="AX127" s="1"/>
      <c r="AY127" s="1"/>
      <c r="AZ127" s="76"/>
      <c r="BB127" s="41"/>
    </row>
    <row r="128" spans="48:54" ht="12.75">
      <c r="AV128" s="1"/>
      <c r="AX128" s="1"/>
      <c r="AY128" s="1"/>
      <c r="AZ128" s="76"/>
      <c r="BB128" s="41"/>
    </row>
    <row r="129" spans="48:54" ht="12.75">
      <c r="AV129" s="1"/>
      <c r="AX129" s="1"/>
      <c r="AY129" s="1"/>
      <c r="AZ129" s="76"/>
      <c r="BB129" s="41"/>
    </row>
    <row r="130" spans="48:54" ht="12.75">
      <c r="AV130" s="1"/>
      <c r="AX130" s="1"/>
      <c r="AY130" s="1"/>
      <c r="AZ130" s="76"/>
      <c r="BB130" s="41"/>
    </row>
    <row r="131" spans="48:54" ht="12.75">
      <c r="AV131" s="1"/>
      <c r="AX131" s="1"/>
      <c r="AY131" s="1"/>
      <c r="AZ131" s="76"/>
      <c r="BB131" s="41"/>
    </row>
    <row r="132" spans="48:54" ht="12.75">
      <c r="AV132" s="1"/>
      <c r="AX132" s="1"/>
      <c r="AY132" s="1"/>
      <c r="AZ132" s="76"/>
      <c r="BB132" s="41"/>
    </row>
    <row r="133" spans="48:54" ht="12.75">
      <c r="AV133" s="1"/>
      <c r="AX133" s="1"/>
      <c r="AY133" s="1"/>
      <c r="AZ133" s="76"/>
      <c r="BB133" s="41"/>
    </row>
    <row r="134" spans="48:54" ht="12.75">
      <c r="AV134" s="1"/>
      <c r="AX134" s="1"/>
      <c r="AY134" s="1"/>
      <c r="AZ134" s="76"/>
      <c r="BB134" s="41"/>
    </row>
    <row r="135" spans="48:54" ht="12.75">
      <c r="AV135" s="1"/>
      <c r="AX135" s="1"/>
      <c r="AY135" s="1"/>
      <c r="AZ135" s="76"/>
      <c r="BB135" s="41"/>
    </row>
    <row r="136" spans="48:54" ht="12.75">
      <c r="AV136" s="1"/>
      <c r="AX136" s="1"/>
      <c r="AY136" s="1"/>
      <c r="AZ136" s="76"/>
      <c r="BB136" s="41"/>
    </row>
    <row r="137" spans="48:54" ht="12.75">
      <c r="AV137" s="1"/>
      <c r="AX137" s="1"/>
      <c r="AY137" s="1"/>
      <c r="AZ137" s="76"/>
      <c r="BB137" s="41"/>
    </row>
    <row r="138" spans="48:54" ht="12.75">
      <c r="AV138" s="1"/>
      <c r="AX138" s="1"/>
      <c r="AY138" s="1"/>
      <c r="AZ138" s="76"/>
      <c r="BB138" s="41"/>
    </row>
    <row r="139" spans="48:54" ht="12.75">
      <c r="AV139" s="1"/>
      <c r="AX139" s="1"/>
      <c r="AY139" s="1"/>
      <c r="AZ139" s="76"/>
      <c r="BB139" s="41"/>
    </row>
    <row r="140" spans="48:54" ht="12.75">
      <c r="AV140" s="1"/>
      <c r="AX140" s="1"/>
      <c r="AY140" s="1"/>
      <c r="AZ140" s="76"/>
      <c r="BB140" s="41"/>
    </row>
    <row r="141" spans="48:54" ht="12.75">
      <c r="AV141" s="1"/>
      <c r="AX141" s="1"/>
      <c r="AY141" s="1"/>
      <c r="AZ141" s="76"/>
      <c r="BB141" s="41"/>
    </row>
    <row r="142" spans="48:54" ht="12.75">
      <c r="AV142" s="1"/>
      <c r="AX142" s="1"/>
      <c r="AY142" s="1"/>
      <c r="AZ142" s="76"/>
      <c r="BB142" s="41"/>
    </row>
    <row r="143" spans="48:54" ht="12.75">
      <c r="AV143" s="1"/>
      <c r="AX143" s="1"/>
      <c r="AY143" s="1"/>
      <c r="AZ143" s="76"/>
      <c r="BB143" s="41"/>
    </row>
    <row r="144" spans="48:54" ht="12.75">
      <c r="AV144" s="1"/>
      <c r="AX144" s="1"/>
      <c r="AY144" s="1"/>
      <c r="AZ144" s="76"/>
      <c r="BB144" s="41"/>
    </row>
    <row r="145" spans="48:54" ht="12.75">
      <c r="AV145" s="1"/>
      <c r="AX145" s="1"/>
      <c r="AY145" s="1"/>
      <c r="AZ145" s="76"/>
      <c r="BB145" s="41"/>
    </row>
    <row r="146" spans="48:54" ht="12.75">
      <c r="AV146" s="1"/>
      <c r="AX146" s="1"/>
      <c r="AY146" s="1"/>
      <c r="AZ146" s="76"/>
      <c r="BB146" s="41"/>
    </row>
    <row r="147" spans="48:54" ht="12.75">
      <c r="AV147" s="1"/>
      <c r="AX147" s="1"/>
      <c r="AY147" s="1"/>
      <c r="AZ147" s="76"/>
      <c r="BB147" s="41"/>
    </row>
    <row r="148" spans="48:54" ht="12.75">
      <c r="AV148" s="1"/>
      <c r="AX148" s="1"/>
      <c r="AY148" s="1"/>
      <c r="AZ148" s="76"/>
      <c r="BB148" s="41"/>
    </row>
    <row r="149" spans="48:54" ht="12.75">
      <c r="AV149" s="1"/>
      <c r="AX149" s="1"/>
      <c r="AY149" s="1"/>
      <c r="AZ149" s="76"/>
      <c r="BB149" s="41"/>
    </row>
    <row r="150" spans="48:54" ht="12.75">
      <c r="AV150" s="1"/>
      <c r="AX150" s="1"/>
      <c r="AY150" s="1"/>
      <c r="AZ150" s="76"/>
      <c r="BB150" s="41"/>
    </row>
    <row r="151" spans="48:54" ht="12.75">
      <c r="AV151" s="1"/>
      <c r="AX151" s="1"/>
      <c r="AY151" s="1"/>
      <c r="AZ151" s="76"/>
      <c r="BB151" s="41"/>
    </row>
    <row r="152" spans="48:54" ht="12.75">
      <c r="AV152" s="1"/>
      <c r="AX152" s="1"/>
      <c r="AY152" s="1"/>
      <c r="AZ152" s="76"/>
      <c r="BB152" s="41"/>
    </row>
    <row r="153" spans="48:54" ht="12.75">
      <c r="AV153" s="1"/>
      <c r="AX153" s="1"/>
      <c r="AY153" s="1"/>
      <c r="AZ153" s="76"/>
      <c r="BB153" s="41"/>
    </row>
    <row r="154" spans="48:54" ht="12.75">
      <c r="AV154" s="1"/>
      <c r="AX154" s="1"/>
      <c r="AY154" s="1"/>
      <c r="AZ154" s="76"/>
      <c r="BB154" s="41"/>
    </row>
    <row r="155" spans="48:54" ht="12.75">
      <c r="AV155" s="1"/>
      <c r="AX155" s="1"/>
      <c r="AY155" s="1"/>
      <c r="AZ155" s="76"/>
      <c r="BB155" s="41"/>
    </row>
    <row r="156" spans="48:54" ht="12.75">
      <c r="AV156" s="1"/>
      <c r="AX156" s="1"/>
      <c r="AY156" s="1"/>
      <c r="AZ156" s="76"/>
      <c r="BB156" s="41"/>
    </row>
    <row r="157" spans="48:54" ht="12.75">
      <c r="AV157" s="1"/>
      <c r="AX157" s="1"/>
      <c r="AY157" s="1"/>
      <c r="AZ157" s="76"/>
      <c r="BB157" s="41"/>
    </row>
    <row r="158" spans="48:54" ht="12.75">
      <c r="AV158" s="1"/>
      <c r="AX158" s="1"/>
      <c r="AY158" s="1"/>
      <c r="AZ158" s="76"/>
      <c r="BB158" s="41"/>
    </row>
    <row r="159" spans="48:54" ht="12.75">
      <c r="AV159" s="1"/>
      <c r="AX159" s="1"/>
      <c r="AY159" s="1"/>
      <c r="AZ159" s="76"/>
      <c r="BB159" s="41"/>
    </row>
    <row r="160" spans="48:54" ht="12.75">
      <c r="AV160" s="1"/>
      <c r="AX160" s="1"/>
      <c r="AY160" s="1"/>
      <c r="AZ160" s="76"/>
      <c r="BB160" s="41"/>
    </row>
    <row r="161" spans="48:54" ht="12.75">
      <c r="AV161" s="1"/>
      <c r="AX161" s="1"/>
      <c r="AY161" s="1"/>
      <c r="AZ161" s="76"/>
      <c r="BB161" s="41"/>
    </row>
    <row r="162" spans="48:54" ht="12.75">
      <c r="AV162" s="1"/>
      <c r="AX162" s="1"/>
      <c r="AY162" s="1"/>
      <c r="AZ162" s="76"/>
      <c r="BB162" s="41"/>
    </row>
    <row r="163" spans="48:54" ht="12.75">
      <c r="AV163" s="1"/>
      <c r="AX163" s="1"/>
      <c r="AY163" s="1"/>
      <c r="AZ163" s="76"/>
      <c r="BB163" s="41"/>
    </row>
    <row r="164" spans="48:54" ht="12.75">
      <c r="AV164" s="1"/>
      <c r="AX164" s="1"/>
      <c r="AY164" s="1"/>
      <c r="AZ164" s="76"/>
      <c r="BB164" s="41"/>
    </row>
    <row r="165" spans="48:54" ht="12.75">
      <c r="AV165" s="1"/>
      <c r="AX165" s="1"/>
      <c r="AY165" s="1"/>
      <c r="AZ165" s="76"/>
      <c r="BB165" s="41"/>
    </row>
    <row r="166" spans="48:54" ht="12.75">
      <c r="AV166" s="1"/>
      <c r="AX166" s="1"/>
      <c r="AY166" s="1"/>
      <c r="AZ166" s="76"/>
      <c r="BB166" s="41"/>
    </row>
    <row r="167" spans="48:54" ht="12.75">
      <c r="AV167" s="1"/>
      <c r="AX167" s="1"/>
      <c r="AY167" s="1"/>
      <c r="AZ167" s="76"/>
      <c r="BB167" s="41"/>
    </row>
    <row r="168" spans="48:54" ht="12.75">
      <c r="AV168" s="1"/>
      <c r="AX168" s="1"/>
      <c r="AY168" s="1"/>
      <c r="AZ168" s="76"/>
      <c r="BB168" s="41"/>
    </row>
    <row r="169" spans="48:54" ht="12.75">
      <c r="AV169" s="1"/>
      <c r="AX169" s="1"/>
      <c r="AY169" s="1"/>
      <c r="AZ169" s="76"/>
      <c r="BB169" s="41"/>
    </row>
    <row r="170" spans="48:54" ht="12.75">
      <c r="AV170" s="1"/>
      <c r="AX170" s="1"/>
      <c r="AY170" s="1"/>
      <c r="AZ170" s="76"/>
      <c r="BB170" s="41"/>
    </row>
    <row r="171" spans="48:54" ht="12.75">
      <c r="AV171" s="1"/>
      <c r="AX171" s="1"/>
      <c r="AY171" s="1"/>
      <c r="AZ171" s="76"/>
      <c r="BB171" s="41"/>
    </row>
    <row r="172" spans="48:54" ht="12.75">
      <c r="AV172" s="1"/>
      <c r="AX172" s="1"/>
      <c r="AY172" s="1"/>
      <c r="AZ172" s="76"/>
      <c r="BB172" s="41"/>
    </row>
    <row r="173" spans="48:54" ht="12.75">
      <c r="AV173" s="1"/>
      <c r="AX173" s="1"/>
      <c r="AY173" s="1"/>
      <c r="AZ173" s="76"/>
      <c r="BB173" s="41"/>
    </row>
    <row r="174" spans="48:54" ht="12.75">
      <c r="AV174" s="1"/>
      <c r="AX174" s="1"/>
      <c r="AY174" s="1"/>
      <c r="AZ174" s="76"/>
      <c r="BB174" s="41"/>
    </row>
    <row r="175" spans="48:54" ht="12.75">
      <c r="AV175" s="1"/>
      <c r="AX175" s="1"/>
      <c r="AY175" s="1"/>
      <c r="AZ175" s="76"/>
      <c r="BB175" s="41"/>
    </row>
    <row r="176" spans="48:54" ht="12.75">
      <c r="AV176" s="1"/>
      <c r="AX176" s="1"/>
      <c r="AY176" s="1"/>
      <c r="AZ176" s="76"/>
      <c r="BB176" s="41"/>
    </row>
    <row r="177" spans="48:54" ht="12.75">
      <c r="AV177" s="1"/>
      <c r="AX177" s="1"/>
      <c r="AY177" s="1"/>
      <c r="AZ177" s="76"/>
      <c r="BB177" s="41"/>
    </row>
    <row r="178" spans="48:54" ht="12.75">
      <c r="AV178" s="1"/>
      <c r="AX178" s="1"/>
      <c r="AY178" s="1"/>
      <c r="AZ178" s="76"/>
      <c r="BB178" s="41"/>
    </row>
    <row r="179" spans="48:54" ht="12.75">
      <c r="AV179" s="1"/>
      <c r="AX179" s="1"/>
      <c r="AY179" s="1"/>
      <c r="AZ179" s="76"/>
      <c r="BB179" s="41"/>
    </row>
    <row r="180" spans="48:54" ht="12.75">
      <c r="AV180" s="1"/>
      <c r="AX180" s="1"/>
      <c r="AY180" s="1"/>
      <c r="AZ180" s="76"/>
      <c r="BB180" s="41"/>
    </row>
    <row r="181" spans="48:54" ht="12.75">
      <c r="AV181" s="1"/>
      <c r="AX181" s="1"/>
      <c r="AY181" s="1"/>
      <c r="AZ181" s="76"/>
      <c r="BB181" s="41"/>
    </row>
    <row r="182" spans="48:54" ht="12.75">
      <c r="AV182" s="1"/>
      <c r="AX182" s="1"/>
      <c r="AY182" s="1"/>
      <c r="AZ182" s="76"/>
      <c r="BB182" s="41"/>
    </row>
    <row r="183" spans="48:54" ht="12.75">
      <c r="AV183" s="1"/>
      <c r="AX183" s="1"/>
      <c r="AY183" s="1"/>
      <c r="AZ183" s="76"/>
      <c r="BB183" s="41"/>
    </row>
    <row r="184" spans="48:54" ht="12.75">
      <c r="AV184" s="1"/>
      <c r="AX184" s="1"/>
      <c r="AY184" s="1"/>
      <c r="AZ184" s="76"/>
      <c r="BB184" s="41"/>
    </row>
    <row r="185" spans="48:54" ht="12.75">
      <c r="AV185" s="1"/>
      <c r="AX185" s="1"/>
      <c r="AY185" s="1"/>
      <c r="AZ185" s="76"/>
      <c r="BB185" s="41"/>
    </row>
    <row r="186" spans="48:54" ht="12.75">
      <c r="AV186" s="1"/>
      <c r="AX186" s="1"/>
      <c r="AY186" s="1"/>
      <c r="AZ186" s="76"/>
      <c r="BB186" s="41"/>
    </row>
    <row r="187" spans="48:54" ht="12.75">
      <c r="AV187" s="1"/>
      <c r="AX187" s="1"/>
      <c r="AY187" s="1"/>
      <c r="AZ187" s="76"/>
      <c r="BB187" s="41"/>
    </row>
    <row r="188" spans="48:54" ht="12.75">
      <c r="AV188" s="1"/>
      <c r="AX188" s="1"/>
      <c r="AY188" s="1"/>
      <c r="AZ188" s="76"/>
      <c r="BB188" s="41"/>
    </row>
    <row r="189" spans="48:54" ht="12.75">
      <c r="AV189" s="1"/>
      <c r="AX189" s="1"/>
      <c r="AY189" s="1"/>
      <c r="AZ189" s="76"/>
      <c r="BB189" s="41"/>
    </row>
    <row r="190" spans="48:54" ht="12.75">
      <c r="AV190" s="1"/>
      <c r="AX190" s="1"/>
      <c r="AY190" s="1"/>
      <c r="AZ190" s="76"/>
      <c r="BB190" s="41"/>
    </row>
    <row r="191" spans="48:54" ht="12.75">
      <c r="AV191" s="1"/>
      <c r="AX191" s="1"/>
      <c r="AY191" s="1"/>
      <c r="AZ191" s="76"/>
      <c r="BB191" s="41"/>
    </row>
    <row r="192" spans="48:54" ht="12.75">
      <c r="AV192" s="1"/>
      <c r="AX192" s="1"/>
      <c r="AY192" s="1"/>
      <c r="AZ192" s="76"/>
      <c r="BB192" s="41"/>
    </row>
    <row r="193" spans="48:54" ht="12.75">
      <c r="AV193" s="1"/>
      <c r="AX193" s="1"/>
      <c r="AY193" s="1"/>
      <c r="AZ193" s="76"/>
      <c r="BB193" s="41"/>
    </row>
    <row r="194" spans="48:54" ht="12.75">
      <c r="AV194" s="1"/>
      <c r="AX194" s="1"/>
      <c r="AY194" s="1"/>
      <c r="AZ194" s="76"/>
      <c r="BB194" s="41"/>
    </row>
    <row r="195" spans="48:54" ht="12.75">
      <c r="AV195" s="1"/>
      <c r="AX195" s="1"/>
      <c r="AY195" s="1"/>
      <c r="AZ195" s="76"/>
      <c r="BB195" s="41"/>
    </row>
    <row r="196" spans="48:54" ht="12.75">
      <c r="AV196" s="1"/>
      <c r="AX196" s="1"/>
      <c r="AY196" s="1"/>
      <c r="AZ196" s="76"/>
      <c r="BB196" s="41"/>
    </row>
    <row r="197" spans="48:54" ht="12.75">
      <c r="AV197" s="1"/>
      <c r="AX197" s="1"/>
      <c r="AY197" s="1"/>
      <c r="AZ197" s="76"/>
      <c r="BB197" s="41"/>
    </row>
    <row r="198" spans="48:54" ht="12.75">
      <c r="AV198" s="1"/>
      <c r="AX198" s="1"/>
      <c r="AY198" s="1"/>
      <c r="AZ198" s="76"/>
      <c r="BB198" s="41"/>
    </row>
    <row r="199" spans="48:54" ht="12.75">
      <c r="AV199" s="1"/>
      <c r="AX199" s="1"/>
      <c r="AY199" s="1"/>
      <c r="AZ199" s="76"/>
      <c r="BB199" s="41"/>
    </row>
    <row r="200" spans="48:54" ht="12.75">
      <c r="AV200" s="1"/>
      <c r="AX200" s="1"/>
      <c r="AY200" s="1"/>
      <c r="AZ200" s="76"/>
      <c r="BB200" s="41"/>
    </row>
    <row r="201" spans="48:54" ht="12.75">
      <c r="AV201" s="1"/>
      <c r="AX201" s="1"/>
      <c r="AY201" s="1"/>
      <c r="AZ201" s="76"/>
      <c r="BB201" s="41"/>
    </row>
    <row r="202" spans="48:54" ht="12.75">
      <c r="AV202" s="1"/>
      <c r="AX202" s="1"/>
      <c r="AY202" s="1"/>
      <c r="AZ202" s="76"/>
      <c r="BB202" s="41"/>
    </row>
    <row r="203" spans="48:54" ht="12.75">
      <c r="AV203" s="1"/>
      <c r="AX203" s="1"/>
      <c r="AY203" s="1"/>
      <c r="AZ203" s="76"/>
      <c r="BB203" s="41"/>
    </row>
    <row r="204" spans="48:54" ht="12.75">
      <c r="AV204" s="1"/>
      <c r="AX204" s="1"/>
      <c r="AY204" s="1"/>
      <c r="AZ204" s="76"/>
      <c r="BB204" s="41"/>
    </row>
    <row r="205" spans="48:54" ht="12.75">
      <c r="AV205" s="1"/>
      <c r="AX205" s="1"/>
      <c r="AY205" s="1"/>
      <c r="AZ205" s="76"/>
      <c r="BB205" s="41"/>
    </row>
    <row r="206" spans="48:54" ht="12.75">
      <c r="AV206" s="1"/>
      <c r="AX206" s="1"/>
      <c r="AY206" s="1"/>
      <c r="AZ206" s="76"/>
      <c r="BB206" s="41"/>
    </row>
    <row r="207" spans="48:54" ht="12.75">
      <c r="AV207" s="1"/>
      <c r="AX207" s="1"/>
      <c r="AY207" s="1"/>
      <c r="AZ207" s="76"/>
      <c r="BB207" s="41"/>
    </row>
    <row r="208" spans="48:54" ht="12.75">
      <c r="AV208" s="1"/>
      <c r="AX208" s="1"/>
      <c r="AY208" s="1"/>
      <c r="AZ208" s="76"/>
      <c r="BB208" s="41"/>
    </row>
    <row r="209" spans="48:54" ht="12.75">
      <c r="AV209" s="1"/>
      <c r="AX209" s="1"/>
      <c r="AY209" s="1"/>
      <c r="AZ209" s="76"/>
      <c r="BB209" s="41"/>
    </row>
    <row r="210" spans="48:54" ht="12.75">
      <c r="AV210" s="1"/>
      <c r="AX210" s="1"/>
      <c r="AY210" s="1"/>
      <c r="AZ210" s="76"/>
      <c r="BB210" s="41"/>
    </row>
    <row r="211" spans="48:54" ht="12.75">
      <c r="AV211" s="1"/>
      <c r="AX211" s="1"/>
      <c r="AY211" s="1"/>
      <c r="AZ211" s="76"/>
      <c r="BB211" s="41"/>
    </row>
    <row r="212" spans="48:54" ht="12.75">
      <c r="AV212" s="1"/>
      <c r="AX212" s="1"/>
      <c r="AY212" s="1"/>
      <c r="AZ212" s="76"/>
      <c r="BB212" s="41"/>
    </row>
    <row r="213" spans="48:54" ht="12.75">
      <c r="AV213" s="1"/>
      <c r="AX213" s="1"/>
      <c r="AY213" s="1"/>
      <c r="AZ213" s="76"/>
      <c r="BB213" s="41"/>
    </row>
    <row r="214" spans="48:54" ht="12.75">
      <c r="AV214" s="1"/>
      <c r="AX214" s="1"/>
      <c r="AY214" s="1"/>
      <c r="AZ214" s="76"/>
      <c r="BB214" s="41"/>
    </row>
    <row r="215" spans="48:54" ht="12.75">
      <c r="AV215" s="1"/>
      <c r="AX215" s="1"/>
      <c r="AY215" s="1"/>
      <c r="AZ215" s="76"/>
      <c r="BB215" s="41"/>
    </row>
    <row r="216" spans="48:54" ht="12.75">
      <c r="AV216" s="1"/>
      <c r="AX216" s="1"/>
      <c r="AY216" s="1"/>
      <c r="AZ216" s="76"/>
      <c r="BB216" s="41"/>
    </row>
    <row r="217" spans="48:54" ht="12.75">
      <c r="AV217" s="1"/>
      <c r="AX217" s="1"/>
      <c r="AY217" s="1"/>
      <c r="AZ217" s="76"/>
      <c r="BB217" s="41"/>
    </row>
    <row r="218" spans="48:54" ht="12.75">
      <c r="AV218" s="1"/>
      <c r="AX218" s="1"/>
      <c r="AY218" s="1"/>
      <c r="AZ218" s="76"/>
      <c r="BB218" s="41"/>
    </row>
    <row r="219" spans="48:54" ht="12.75">
      <c r="AV219" s="1"/>
      <c r="AX219" s="1"/>
      <c r="AY219" s="1"/>
      <c r="AZ219" s="76"/>
      <c r="BB219" s="41"/>
    </row>
    <row r="220" spans="48:54" ht="12.75">
      <c r="AV220" s="1"/>
      <c r="AX220" s="1"/>
      <c r="AY220" s="1"/>
      <c r="AZ220" s="76"/>
      <c r="BB220" s="41"/>
    </row>
    <row r="221" spans="48:54" ht="12.75">
      <c r="AV221" s="1"/>
      <c r="AX221" s="1"/>
      <c r="AY221" s="1"/>
      <c r="AZ221" s="76"/>
      <c r="BB221" s="41"/>
    </row>
    <row r="222" spans="48:54" ht="12.75">
      <c r="AV222" s="1"/>
      <c r="AX222" s="1"/>
      <c r="AY222" s="1"/>
      <c r="AZ222" s="76"/>
      <c r="BB222" s="41"/>
    </row>
    <row r="223" spans="48:54" ht="12.75">
      <c r="AV223" s="1"/>
      <c r="AX223" s="1"/>
      <c r="AY223" s="1"/>
      <c r="AZ223" s="76"/>
      <c r="BB223" s="41"/>
    </row>
    <row r="224" spans="48:54" ht="12.75">
      <c r="AV224" s="1"/>
      <c r="AX224" s="1"/>
      <c r="AY224" s="1"/>
      <c r="AZ224" s="76"/>
      <c r="BB224" s="41"/>
    </row>
    <row r="225" spans="48:54" ht="12.75">
      <c r="AV225" s="1"/>
      <c r="AX225" s="1"/>
      <c r="AY225" s="1"/>
      <c r="AZ225" s="76"/>
      <c r="BB225" s="41"/>
    </row>
    <row r="226" spans="48:54" ht="12.75">
      <c r="AV226" s="1"/>
      <c r="AX226" s="1"/>
      <c r="AY226" s="1"/>
      <c r="AZ226" s="76"/>
      <c r="BB226" s="41"/>
    </row>
    <row r="227" spans="48:54" ht="12.75">
      <c r="AV227" s="1"/>
      <c r="AX227" s="1"/>
      <c r="AY227" s="1"/>
      <c r="AZ227" s="76"/>
      <c r="BB227" s="41"/>
    </row>
    <row r="228" spans="48:54" ht="12.75">
      <c r="AV228" s="1"/>
      <c r="AX228" s="1"/>
      <c r="AY228" s="1"/>
      <c r="AZ228" s="76"/>
      <c r="BB228" s="41"/>
    </row>
    <row r="229" spans="48:54" ht="12.75">
      <c r="AV229" s="1"/>
      <c r="AX229" s="1"/>
      <c r="AY229" s="1"/>
      <c r="AZ229" s="76"/>
      <c r="BB229" s="41"/>
    </row>
    <row r="230" spans="48:54" ht="12.75">
      <c r="AV230" s="1"/>
      <c r="AX230" s="1"/>
      <c r="AY230" s="1"/>
      <c r="AZ230" s="76"/>
      <c r="BB230" s="41"/>
    </row>
    <row r="231" spans="48:54" ht="12.75">
      <c r="AV231" s="1"/>
      <c r="AX231" s="1"/>
      <c r="AY231" s="1"/>
      <c r="AZ231" s="76"/>
      <c r="BB231" s="41"/>
    </row>
    <row r="232" spans="48:54" ht="12.75">
      <c r="AV232" s="1"/>
      <c r="AX232" s="1"/>
      <c r="AY232" s="1"/>
      <c r="AZ232" s="76"/>
      <c r="BB232" s="41"/>
    </row>
    <row r="233" spans="48:54" ht="12.75">
      <c r="AV233" s="1"/>
      <c r="AX233" s="1"/>
      <c r="AY233" s="1"/>
      <c r="AZ233" s="76"/>
      <c r="BB233" s="41"/>
    </row>
    <row r="234" spans="48:54" ht="12.75">
      <c r="AV234" s="1"/>
      <c r="AX234" s="1"/>
      <c r="AY234" s="1"/>
      <c r="AZ234" s="76"/>
      <c r="BB234" s="41"/>
    </row>
    <row r="235" spans="48:54" ht="12.75">
      <c r="AV235" s="1"/>
      <c r="AX235" s="1"/>
      <c r="AY235" s="1"/>
      <c r="AZ235" s="76"/>
      <c r="BB235" s="41"/>
    </row>
    <row r="236" spans="48:54" ht="12.75">
      <c r="AV236" s="1"/>
      <c r="AX236" s="1"/>
      <c r="AY236" s="1"/>
      <c r="AZ236" s="76"/>
      <c r="BB236" s="41"/>
    </row>
    <row r="237" spans="48:54" ht="12.75">
      <c r="AV237" s="1"/>
      <c r="AX237" s="1"/>
      <c r="AY237" s="1"/>
      <c r="AZ237" s="76"/>
      <c r="BB237" s="41"/>
    </row>
    <row r="238" spans="48:54" ht="12.75">
      <c r="AV238" s="1"/>
      <c r="AX238" s="1"/>
      <c r="AY238" s="1"/>
      <c r="AZ238" s="76"/>
      <c r="BB238" s="41"/>
    </row>
    <row r="239" spans="48:54" ht="12.75">
      <c r="AV239" s="1"/>
      <c r="AX239" s="1"/>
      <c r="AY239" s="1"/>
      <c r="AZ239" s="76"/>
      <c r="BB239" s="41"/>
    </row>
    <row r="240" spans="48:54" ht="12.75">
      <c r="AV240" s="1"/>
      <c r="AX240" s="1"/>
      <c r="AY240" s="1"/>
      <c r="AZ240" s="76"/>
      <c r="BB240" s="41"/>
    </row>
    <row r="241" spans="48:54" ht="12.75">
      <c r="AV241" s="1"/>
      <c r="AX241" s="1"/>
      <c r="AY241" s="1"/>
      <c r="AZ241" s="76"/>
      <c r="BB241" s="41"/>
    </row>
    <row r="242" spans="48:54" ht="12.75">
      <c r="AV242" s="1"/>
      <c r="AX242" s="1"/>
      <c r="AY242" s="1"/>
      <c r="AZ242" s="76"/>
      <c r="BB242" s="41"/>
    </row>
    <row r="243" spans="48:54" ht="12.75">
      <c r="AV243" s="1"/>
      <c r="AX243" s="1"/>
      <c r="AY243" s="1"/>
      <c r="AZ243" s="76"/>
      <c r="BB243" s="41"/>
    </row>
    <row r="244" spans="48:54" ht="12.75">
      <c r="AV244" s="1"/>
      <c r="AX244" s="1"/>
      <c r="AY244" s="1"/>
      <c r="AZ244" s="76"/>
      <c r="BB244" s="41"/>
    </row>
    <row r="245" spans="48:54" ht="12.75">
      <c r="AV245" s="1"/>
      <c r="AX245" s="1"/>
      <c r="AY245" s="1"/>
      <c r="AZ245" s="76"/>
      <c r="BB245" s="41"/>
    </row>
    <row r="246" spans="48:54" ht="12.75">
      <c r="AV246" s="1"/>
      <c r="AX246" s="1"/>
      <c r="AY246" s="1"/>
      <c r="AZ246" s="76"/>
      <c r="BB246" s="41"/>
    </row>
    <row r="247" spans="48:54" ht="12.75">
      <c r="AV247" s="1"/>
      <c r="AX247" s="1"/>
      <c r="AY247" s="1"/>
      <c r="AZ247" s="76"/>
      <c r="BB247" s="41"/>
    </row>
    <row r="248" spans="48:54" ht="12.75">
      <c r="AV248" s="1"/>
      <c r="AX248" s="1"/>
      <c r="AY248" s="1"/>
      <c r="AZ248" s="76"/>
      <c r="BB248" s="41"/>
    </row>
    <row r="249" spans="48:54" ht="12.75">
      <c r="AV249" s="1"/>
      <c r="AX249" s="1"/>
      <c r="AY249" s="1"/>
      <c r="AZ249" s="76"/>
      <c r="BB249" s="41"/>
    </row>
    <row r="250" spans="48:54" ht="12.75">
      <c r="AV250" s="1"/>
      <c r="AX250" s="1"/>
      <c r="AY250" s="1"/>
      <c r="AZ250" s="76"/>
      <c r="BB250" s="41"/>
    </row>
    <row r="251" spans="48:54" ht="12.75">
      <c r="AV251" s="1"/>
      <c r="AX251" s="1"/>
      <c r="AY251" s="1"/>
      <c r="AZ251" s="76"/>
      <c r="BB251" s="41"/>
    </row>
    <row r="252" spans="48:54" ht="12.75">
      <c r="AV252" s="1"/>
      <c r="AX252" s="1"/>
      <c r="AY252" s="1"/>
      <c r="AZ252" s="76"/>
      <c r="BB252" s="41"/>
    </row>
    <row r="253" spans="48:54" ht="12.75">
      <c r="AV253" s="1"/>
      <c r="AX253" s="1"/>
      <c r="AY253" s="1"/>
      <c r="AZ253" s="76"/>
      <c r="BB253" s="41"/>
    </row>
    <row r="254" spans="48:54" ht="12.75">
      <c r="AV254" s="1"/>
      <c r="AX254" s="1"/>
      <c r="AY254" s="1"/>
      <c r="AZ254" s="76"/>
      <c r="BB254" s="41"/>
    </row>
    <row r="255" spans="48:54" ht="12.75">
      <c r="AV255" s="1"/>
      <c r="AX255" s="1"/>
      <c r="AY255" s="1"/>
      <c r="AZ255" s="76"/>
      <c r="BB255" s="41"/>
    </row>
    <row r="256" spans="48:54" ht="12.75">
      <c r="AV256" s="1"/>
      <c r="AX256" s="1"/>
      <c r="AY256" s="1"/>
      <c r="AZ256" s="76"/>
      <c r="BB256" s="41"/>
    </row>
    <row r="257" spans="48:54" ht="12.75">
      <c r="AV257" s="1"/>
      <c r="AX257" s="1"/>
      <c r="AY257" s="1"/>
      <c r="AZ257" s="76"/>
      <c r="BB257" s="41"/>
    </row>
    <row r="258" spans="48:54" ht="12.75">
      <c r="AV258" s="1"/>
      <c r="AX258" s="1"/>
      <c r="AY258" s="1"/>
      <c r="AZ258" s="76"/>
      <c r="BB258" s="41"/>
    </row>
    <row r="259" spans="48:54" ht="12.75">
      <c r="AV259" s="1"/>
      <c r="AX259" s="1"/>
      <c r="AY259" s="1"/>
      <c r="AZ259" s="76"/>
      <c r="BB259" s="41"/>
    </row>
    <row r="260" spans="48:54" ht="12.75">
      <c r="AV260" s="1"/>
      <c r="AX260" s="1"/>
      <c r="AY260" s="1"/>
      <c r="AZ260" s="76"/>
      <c r="BB260" s="41"/>
    </row>
    <row r="261" spans="48:54" ht="12.75">
      <c r="AV261" s="1"/>
      <c r="AX261" s="1"/>
      <c r="AY261" s="1"/>
      <c r="AZ261" s="76"/>
      <c r="BB261" s="41"/>
    </row>
    <row r="262" spans="48:54" ht="12.75">
      <c r="AV262" s="1"/>
      <c r="AX262" s="1"/>
      <c r="AY262" s="1"/>
      <c r="AZ262" s="76"/>
      <c r="BB262" s="41"/>
    </row>
    <row r="263" spans="48:54" ht="12.75">
      <c r="AV263" s="1"/>
      <c r="AX263" s="1"/>
      <c r="AY263" s="1"/>
      <c r="AZ263" s="76"/>
      <c r="BB263" s="41"/>
    </row>
    <row r="264" spans="48:54" ht="12.75">
      <c r="AV264" s="1"/>
      <c r="AX264" s="1"/>
      <c r="AY264" s="1"/>
      <c r="AZ264" s="76"/>
      <c r="BB264" s="41"/>
    </row>
    <row r="265" spans="48:54" ht="12.75">
      <c r="AV265" s="1"/>
      <c r="AX265" s="1"/>
      <c r="AY265" s="1"/>
      <c r="AZ265" s="76"/>
      <c r="BB265" s="41"/>
    </row>
    <row r="266" spans="48:54" ht="12.75">
      <c r="AV266" s="1"/>
      <c r="AX266" s="1"/>
      <c r="AY266" s="1"/>
      <c r="AZ266" s="76"/>
      <c r="BB266" s="41"/>
    </row>
    <row r="267" spans="48:54" ht="12.75">
      <c r="AV267" s="1"/>
      <c r="AX267" s="1"/>
      <c r="AY267" s="1"/>
      <c r="AZ267" s="76"/>
      <c r="BB267" s="41"/>
    </row>
    <row r="268" spans="48:54" ht="12.75">
      <c r="AV268" s="1"/>
      <c r="AX268" s="1"/>
      <c r="AY268" s="1"/>
      <c r="AZ268" s="76"/>
      <c r="BB268" s="41"/>
    </row>
    <row r="269" spans="48:54" ht="12.75">
      <c r="AV269" s="1"/>
      <c r="AX269" s="1"/>
      <c r="AY269" s="1"/>
      <c r="AZ269" s="76"/>
      <c r="BB269" s="41"/>
    </row>
    <row r="270" spans="48:54" ht="12.75">
      <c r="AV270" s="1"/>
      <c r="AX270" s="1"/>
      <c r="AY270" s="1"/>
      <c r="AZ270" s="76"/>
      <c r="BB270" s="41"/>
    </row>
    <row r="271" spans="48:54" ht="12.75">
      <c r="AV271" s="1"/>
      <c r="AX271" s="1"/>
      <c r="AY271" s="1"/>
      <c r="AZ271" s="76"/>
      <c r="BB271" s="41"/>
    </row>
    <row r="272" spans="48:54" ht="12.75">
      <c r="AV272" s="1"/>
      <c r="AX272" s="1"/>
      <c r="AY272" s="1"/>
      <c r="AZ272" s="76"/>
      <c r="BB272" s="41"/>
    </row>
    <row r="273" spans="48:54" ht="12.75">
      <c r="AV273" s="1"/>
      <c r="AX273" s="1"/>
      <c r="AY273" s="1"/>
      <c r="AZ273" s="76"/>
      <c r="BB273" s="41"/>
    </row>
    <row r="274" spans="48:54" ht="12.75">
      <c r="AV274" s="1"/>
      <c r="AX274" s="1"/>
      <c r="AY274" s="1"/>
      <c r="AZ274" s="76"/>
      <c r="BB274" s="41"/>
    </row>
    <row r="275" spans="48:54" ht="12.75">
      <c r="AV275" s="1"/>
      <c r="AX275" s="1"/>
      <c r="AY275" s="1"/>
      <c r="AZ275" s="76"/>
      <c r="BB275" s="41"/>
    </row>
    <row r="276" spans="48:54" ht="12.75">
      <c r="AV276" s="1"/>
      <c r="AX276" s="1"/>
      <c r="AY276" s="1"/>
      <c r="AZ276" s="76"/>
      <c r="BB276" s="41"/>
    </row>
    <row r="277" spans="48:54" ht="12.75">
      <c r="AV277" s="1"/>
      <c r="AX277" s="1"/>
      <c r="AY277" s="1"/>
      <c r="AZ277" s="76"/>
      <c r="BB277" s="41"/>
    </row>
    <row r="278" spans="48:54" ht="12.75">
      <c r="AV278" s="1"/>
      <c r="AX278" s="1"/>
      <c r="AY278" s="1"/>
      <c r="AZ278" s="76"/>
      <c r="BB278" s="41"/>
    </row>
    <row r="279" spans="48:54" ht="12.75">
      <c r="AV279" s="1"/>
      <c r="AX279" s="1"/>
      <c r="AY279" s="1"/>
      <c r="AZ279" s="76"/>
      <c r="BB279" s="41"/>
    </row>
    <row r="280" spans="48:54" ht="12.75">
      <c r="AV280" s="1"/>
      <c r="AX280" s="1"/>
      <c r="AY280" s="1"/>
      <c r="AZ280" s="76"/>
      <c r="BB280" s="41"/>
    </row>
    <row r="281" spans="48:54" ht="12.75">
      <c r="AV281" s="1"/>
      <c r="AX281" s="1"/>
      <c r="AY281" s="1"/>
      <c r="AZ281" s="76"/>
      <c r="BB281" s="41"/>
    </row>
    <row r="282" spans="48:54" ht="12.75">
      <c r="AV282" s="1"/>
      <c r="AX282" s="1"/>
      <c r="AY282" s="1"/>
      <c r="AZ282" s="76"/>
      <c r="BB282" s="41"/>
    </row>
    <row r="283" spans="48:54" ht="12.75">
      <c r="AV283" s="1"/>
      <c r="AX283" s="1"/>
      <c r="AY283" s="1"/>
      <c r="AZ283" s="76"/>
      <c r="BB283" s="41"/>
    </row>
    <row r="284" spans="48:54" ht="12.75">
      <c r="AV284" s="1"/>
      <c r="AX284" s="1"/>
      <c r="AY284" s="1"/>
      <c r="AZ284" s="76"/>
      <c r="BB284" s="41"/>
    </row>
    <row r="285" spans="48:54" ht="12.75">
      <c r="AV285" s="1"/>
      <c r="AX285" s="1"/>
      <c r="AY285" s="1"/>
      <c r="AZ285" s="76"/>
      <c r="BB285" s="41"/>
    </row>
    <row r="286" spans="48:54" ht="12.75">
      <c r="AV286" s="1"/>
      <c r="AX286" s="1"/>
      <c r="AY286" s="1"/>
      <c r="AZ286" s="76"/>
      <c r="BB286" s="41"/>
    </row>
    <row r="287" spans="48:54" ht="12.75">
      <c r="AV287" s="1"/>
      <c r="AX287" s="1"/>
      <c r="AY287" s="1"/>
      <c r="AZ287" s="76"/>
      <c r="BB287" s="41"/>
    </row>
    <row r="288" spans="48:54" ht="12.75">
      <c r="AV288" s="1"/>
      <c r="AX288" s="1"/>
      <c r="AY288" s="1"/>
      <c r="AZ288" s="76"/>
      <c r="BB288" s="41"/>
    </row>
    <row r="289" spans="48:54" ht="12.75">
      <c r="AV289" s="1"/>
      <c r="AX289" s="1"/>
      <c r="AY289" s="1"/>
      <c r="AZ289" s="76"/>
      <c r="BB289" s="41"/>
    </row>
    <row r="290" spans="48:54" ht="12.75">
      <c r="AV290" s="1"/>
      <c r="AX290" s="1"/>
      <c r="AY290" s="1"/>
      <c r="AZ290" s="76"/>
      <c r="BB290" s="41"/>
    </row>
    <row r="291" spans="48:54" ht="12.75">
      <c r="AV291" s="1"/>
      <c r="AX291" s="1"/>
      <c r="AY291" s="1"/>
      <c r="AZ291" s="76"/>
      <c r="BB291" s="41"/>
    </row>
    <row r="292" spans="48:54" ht="12.75">
      <c r="AV292" s="1"/>
      <c r="AX292" s="1"/>
      <c r="AY292" s="1"/>
      <c r="AZ292" s="76"/>
      <c r="BB292" s="41"/>
    </row>
    <row r="293" spans="48:54" ht="12.75">
      <c r="AV293" s="1"/>
      <c r="AX293" s="1"/>
      <c r="AY293" s="1"/>
      <c r="AZ293" s="76"/>
      <c r="BB293" s="41"/>
    </row>
    <row r="294" spans="48:54" ht="12.75">
      <c r="AV294" s="1"/>
      <c r="AX294" s="1"/>
      <c r="AY294" s="1"/>
      <c r="AZ294" s="76"/>
      <c r="BB294" s="41"/>
    </row>
    <row r="295" spans="48:54" ht="12.75">
      <c r="AV295" s="1"/>
      <c r="AX295" s="1"/>
      <c r="AY295" s="1"/>
      <c r="AZ295" s="76"/>
      <c r="BB295" s="41"/>
    </row>
    <row r="296" spans="48:54" ht="12.75">
      <c r="AV296" s="1"/>
      <c r="AX296" s="1"/>
      <c r="AY296" s="1"/>
      <c r="AZ296" s="76"/>
      <c r="BB296" s="41"/>
    </row>
    <row r="297" spans="48:54" ht="12.75">
      <c r="AV297" s="1"/>
      <c r="AX297" s="1"/>
      <c r="AY297" s="1"/>
      <c r="AZ297" s="76"/>
      <c r="BB297" s="41"/>
    </row>
    <row r="298" spans="48:54" ht="12.75">
      <c r="AV298" s="1"/>
      <c r="AX298" s="1"/>
      <c r="AY298" s="1"/>
      <c r="AZ298" s="76"/>
      <c r="BB298" s="41"/>
    </row>
    <row r="299" spans="48:54" ht="12.75">
      <c r="AV299" s="1"/>
      <c r="AX299" s="1"/>
      <c r="AY299" s="1"/>
      <c r="AZ299" s="76"/>
      <c r="BB299" s="41"/>
    </row>
    <row r="300" spans="48:54" ht="12.75">
      <c r="AV300" s="1"/>
      <c r="AX300" s="1"/>
      <c r="AY300" s="1"/>
      <c r="AZ300" s="76"/>
      <c r="BB300" s="41"/>
    </row>
    <row r="301" spans="48:54" ht="12.75">
      <c r="AV301" s="1"/>
      <c r="AX301" s="1"/>
      <c r="AY301" s="1"/>
      <c r="AZ301" s="76"/>
      <c r="BB301" s="41"/>
    </row>
    <row r="302" spans="48:54" ht="12.75">
      <c r="AV302" s="1"/>
      <c r="AX302" s="1"/>
      <c r="AY302" s="1"/>
      <c r="AZ302" s="76"/>
      <c r="BB302" s="41"/>
    </row>
    <row r="303" spans="48:54" ht="12.75">
      <c r="AV303" s="1"/>
      <c r="AX303" s="1"/>
      <c r="AY303" s="1"/>
      <c r="AZ303" s="76"/>
      <c r="BB303" s="41"/>
    </row>
    <row r="304" spans="48:54" ht="12.75">
      <c r="AV304" s="1"/>
      <c r="AX304" s="1"/>
      <c r="AY304" s="1"/>
      <c r="AZ304" s="76"/>
      <c r="BB304" s="41"/>
    </row>
    <row r="305" spans="48:54" ht="12.75">
      <c r="AV305" s="1"/>
      <c r="AX305" s="1"/>
      <c r="AY305" s="1"/>
      <c r="AZ305" s="76"/>
      <c r="BB305" s="41"/>
    </row>
    <row r="306" spans="48:54" ht="12.75">
      <c r="AV306" s="1"/>
      <c r="AX306" s="1"/>
      <c r="AY306" s="1"/>
      <c r="AZ306" s="76"/>
      <c r="BB306" s="41"/>
    </row>
    <row r="307" spans="48:54" ht="12.75">
      <c r="AV307" s="1"/>
      <c r="AX307" s="1"/>
      <c r="AY307" s="1"/>
      <c r="AZ307" s="76"/>
      <c r="BB307" s="41"/>
    </row>
    <row r="308" spans="48:54" ht="12.75">
      <c r="AV308" s="1"/>
      <c r="AX308" s="1"/>
      <c r="AY308" s="1"/>
      <c r="AZ308" s="76"/>
      <c r="BB308" s="41"/>
    </row>
    <row r="309" spans="48:54" ht="12.75">
      <c r="AV309" s="1"/>
      <c r="AX309" s="1"/>
      <c r="AY309" s="1"/>
      <c r="AZ309" s="76"/>
      <c r="BB309" s="41"/>
    </row>
    <row r="310" spans="48:54" ht="12.75">
      <c r="AV310" s="1"/>
      <c r="AX310" s="1"/>
      <c r="AY310" s="1"/>
      <c r="AZ310" s="76"/>
      <c r="BB310" s="41"/>
    </row>
    <row r="311" spans="48:54" ht="12.75">
      <c r="AV311" s="1"/>
      <c r="AX311" s="1"/>
      <c r="AY311" s="1"/>
      <c r="AZ311" s="76"/>
      <c r="BB311" s="41"/>
    </row>
    <row r="312" spans="48:54" ht="12.75">
      <c r="AV312" s="1"/>
      <c r="AX312" s="1"/>
      <c r="AY312" s="1"/>
      <c r="AZ312" s="76"/>
      <c r="BB312" s="41"/>
    </row>
    <row r="313" spans="48:54" ht="12.75">
      <c r="AV313" s="1"/>
      <c r="AX313" s="1"/>
      <c r="AY313" s="1"/>
      <c r="AZ313" s="76"/>
      <c r="BB313" s="41"/>
    </row>
    <row r="314" spans="48:54" ht="12.75">
      <c r="AV314" s="1"/>
      <c r="AX314" s="1"/>
      <c r="AY314" s="1"/>
      <c r="AZ314" s="76"/>
      <c r="BB314" s="41"/>
    </row>
    <row r="315" spans="48:54" ht="12.75">
      <c r="AV315" s="1"/>
      <c r="AX315" s="1"/>
      <c r="AY315" s="1"/>
      <c r="AZ315" s="76"/>
      <c r="BB315" s="41"/>
    </row>
    <row r="316" spans="48:54" ht="12.75">
      <c r="AV316" s="1"/>
      <c r="AX316" s="1"/>
      <c r="AY316" s="1"/>
      <c r="AZ316" s="76"/>
      <c r="BB316" s="41"/>
    </row>
    <row r="317" spans="48:54" ht="12.75">
      <c r="AV317" s="1"/>
      <c r="AX317" s="1"/>
      <c r="AY317" s="1"/>
      <c r="AZ317" s="76"/>
      <c r="BB317" s="41"/>
    </row>
    <row r="318" spans="48:54" ht="12.75">
      <c r="AV318" s="1"/>
      <c r="AX318" s="1"/>
      <c r="AY318" s="1"/>
      <c r="AZ318" s="76"/>
      <c r="BB318" s="41"/>
    </row>
    <row r="319" spans="48:54" ht="12.75">
      <c r="AV319" s="1"/>
      <c r="AX319" s="1"/>
      <c r="AY319" s="1"/>
      <c r="AZ319" s="76"/>
      <c r="BB319" s="41"/>
    </row>
    <row r="320" spans="48:54" ht="12.75">
      <c r="AV320" s="1"/>
      <c r="AX320" s="1"/>
      <c r="AY320" s="1"/>
      <c r="AZ320" s="76"/>
      <c r="BB320" s="41"/>
    </row>
    <row r="321" spans="48:54" ht="12.75">
      <c r="AV321" s="1"/>
      <c r="AX321" s="1"/>
      <c r="AY321" s="1"/>
      <c r="AZ321" s="76"/>
      <c r="BB321" s="41"/>
    </row>
    <row r="322" spans="48:54" ht="12.75">
      <c r="AV322" s="1"/>
      <c r="AX322" s="1"/>
      <c r="AY322" s="1"/>
      <c r="AZ322" s="76"/>
      <c r="BB322" s="41"/>
    </row>
    <row r="323" spans="48:54" ht="12.75">
      <c r="AV323" s="1"/>
      <c r="AX323" s="1"/>
      <c r="AY323" s="1"/>
      <c r="AZ323" s="76"/>
      <c r="BB323" s="41"/>
    </row>
    <row r="324" spans="48:54" ht="12.75">
      <c r="AV324" s="1"/>
      <c r="AX324" s="1"/>
      <c r="AY324" s="1"/>
      <c r="AZ324" s="76"/>
      <c r="BB324" s="41"/>
    </row>
    <row r="325" spans="48:54" ht="12.75">
      <c r="AV325" s="1"/>
      <c r="AX325" s="1"/>
      <c r="AY325" s="1"/>
      <c r="AZ325" s="76"/>
      <c r="BB325" s="41"/>
    </row>
    <row r="326" spans="48:54" ht="12.75">
      <c r="AV326" s="1"/>
      <c r="AX326" s="1"/>
      <c r="AY326" s="1"/>
      <c r="AZ326" s="76"/>
      <c r="BB326" s="41"/>
    </row>
    <row r="327" spans="48:54" ht="12.75">
      <c r="AV327" s="1"/>
      <c r="AX327" s="1"/>
      <c r="AY327" s="1"/>
      <c r="AZ327" s="76"/>
      <c r="BB327" s="41"/>
    </row>
    <row r="328" spans="48:54" ht="12.75">
      <c r="AV328" s="1"/>
      <c r="AX328" s="1"/>
      <c r="AY328" s="1"/>
      <c r="AZ328" s="76"/>
      <c r="BB328" s="41"/>
    </row>
    <row r="329" spans="48:54" ht="12.75">
      <c r="AV329" s="1"/>
      <c r="AX329" s="1"/>
      <c r="AY329" s="1"/>
      <c r="AZ329" s="76"/>
      <c r="BB329" s="41"/>
    </row>
    <row r="330" spans="48:54" ht="12.75">
      <c r="AV330" s="1"/>
      <c r="AX330" s="1"/>
      <c r="AY330" s="1"/>
      <c r="AZ330" s="76"/>
      <c r="BB330" s="41"/>
    </row>
    <row r="331" spans="48:54" ht="12.75">
      <c r="AV331" s="1"/>
      <c r="AX331" s="1"/>
      <c r="AY331" s="1"/>
      <c r="AZ331" s="76"/>
      <c r="BB331" s="41"/>
    </row>
    <row r="332" spans="48:54" ht="12.75">
      <c r="AV332" s="1"/>
      <c r="AX332" s="1"/>
      <c r="AY332" s="1"/>
      <c r="AZ332" s="76"/>
      <c r="BB332" s="41"/>
    </row>
    <row r="333" spans="48:54" ht="12.75">
      <c r="AV333" s="1"/>
      <c r="AX333" s="1"/>
      <c r="AY333" s="1"/>
      <c r="AZ333" s="76"/>
      <c r="BB333" s="41"/>
    </row>
    <row r="334" spans="48:54" ht="12.75">
      <c r="AV334" s="1"/>
      <c r="AX334" s="1"/>
      <c r="AY334" s="1"/>
      <c r="AZ334" s="76"/>
      <c r="BB334" s="41"/>
    </row>
    <row r="335" spans="48:54" ht="12.75">
      <c r="AV335" s="1"/>
      <c r="AX335" s="1"/>
      <c r="AY335" s="1"/>
      <c r="AZ335" s="76"/>
      <c r="BB335" s="41"/>
    </row>
    <row r="336" spans="48:54" ht="12.75">
      <c r="AV336" s="1"/>
      <c r="AX336" s="1"/>
      <c r="AY336" s="1"/>
      <c r="AZ336" s="76"/>
      <c r="BB336" s="41"/>
    </row>
    <row r="337" spans="48:54" ht="12.75">
      <c r="AV337" s="1"/>
      <c r="AX337" s="1"/>
      <c r="AY337" s="1"/>
      <c r="AZ337" s="76"/>
      <c r="BB337" s="41"/>
    </row>
    <row r="338" spans="48:54" ht="12.75">
      <c r="AV338" s="1"/>
      <c r="AX338" s="1"/>
      <c r="AY338" s="1"/>
      <c r="AZ338" s="76"/>
      <c r="BB338" s="41"/>
    </row>
    <row r="339" spans="48:54" ht="12.75">
      <c r="AV339" s="1"/>
      <c r="AX339" s="1"/>
      <c r="AY339" s="1"/>
      <c r="AZ339" s="76"/>
      <c r="BB339" s="41"/>
    </row>
    <row r="340" spans="48:54" ht="12.75">
      <c r="AV340" s="1"/>
      <c r="AX340" s="1"/>
      <c r="AY340" s="1"/>
      <c r="AZ340" s="76"/>
      <c r="BB340" s="41"/>
    </row>
    <row r="341" spans="48:54" ht="12.75">
      <c r="AV341" s="1"/>
      <c r="AX341" s="1"/>
      <c r="AY341" s="1"/>
      <c r="AZ341" s="76"/>
      <c r="BB341" s="41"/>
    </row>
    <row r="342" spans="48:54" ht="12.75">
      <c r="AV342" s="1"/>
      <c r="AX342" s="1"/>
      <c r="AY342" s="1"/>
      <c r="AZ342" s="76"/>
      <c r="BB342" s="41"/>
    </row>
    <row r="343" spans="48:54" ht="12.75">
      <c r="AV343" s="1"/>
      <c r="AX343" s="1"/>
      <c r="AY343" s="1"/>
      <c r="AZ343" s="76"/>
      <c r="BB343" s="41"/>
    </row>
    <row r="344" spans="48:54" ht="12.75">
      <c r="AV344" s="1"/>
      <c r="AX344" s="1"/>
      <c r="AY344" s="1"/>
      <c r="AZ344" s="76"/>
      <c r="BB344" s="41"/>
    </row>
    <row r="345" spans="48:54" ht="12.75">
      <c r="AV345" s="1"/>
      <c r="AX345" s="1"/>
      <c r="AY345" s="1"/>
      <c r="AZ345" s="76"/>
      <c r="BB345" s="41"/>
    </row>
    <row r="346" spans="48:54" ht="12.75">
      <c r="AV346" s="1"/>
      <c r="AX346" s="1"/>
      <c r="AY346" s="1"/>
      <c r="AZ346" s="76"/>
      <c r="BB346" s="41"/>
    </row>
    <row r="347" spans="48:54" ht="12.75">
      <c r="AV347" s="1"/>
      <c r="AX347" s="1"/>
      <c r="AY347" s="1"/>
      <c r="AZ347" s="76"/>
      <c r="BB347" s="41"/>
    </row>
    <row r="348" spans="48:54" ht="12.75">
      <c r="AV348" s="1"/>
      <c r="AX348" s="1"/>
      <c r="AY348" s="1"/>
      <c r="AZ348" s="76"/>
      <c r="BB348" s="41"/>
    </row>
    <row r="349" spans="48:54" ht="12.75">
      <c r="AV349" s="1"/>
      <c r="AX349" s="1"/>
      <c r="AY349" s="1"/>
      <c r="AZ349" s="76"/>
      <c r="BB349" s="41"/>
    </row>
    <row r="350" spans="48:54" ht="12.75">
      <c r="AV350" s="1"/>
      <c r="AX350" s="1"/>
      <c r="AY350" s="1"/>
      <c r="AZ350" s="76"/>
      <c r="BB350" s="41"/>
    </row>
    <row r="351" spans="48:54" ht="12.75">
      <c r="AV351" s="1"/>
      <c r="AX351" s="1"/>
      <c r="AY351" s="1"/>
      <c r="AZ351" s="76"/>
      <c r="BB351" s="41"/>
    </row>
    <row r="352" spans="48:54" ht="12.75">
      <c r="AV352" s="1"/>
      <c r="AX352" s="1"/>
      <c r="AY352" s="1"/>
      <c r="AZ352" s="76"/>
      <c r="BB352" s="41"/>
    </row>
    <row r="353" spans="48:54" ht="12.75">
      <c r="AV353" s="1"/>
      <c r="AX353" s="1"/>
      <c r="AY353" s="1"/>
      <c r="AZ353" s="76"/>
      <c r="BB353" s="41"/>
    </row>
    <row r="354" spans="48:54" ht="12.75">
      <c r="AV354" s="1"/>
      <c r="AX354" s="1"/>
      <c r="AY354" s="1"/>
      <c r="AZ354" s="76"/>
      <c r="BB354" s="41"/>
    </row>
    <row r="355" spans="48:54" ht="12.75">
      <c r="AV355" s="1"/>
      <c r="AX355" s="1"/>
      <c r="AY355" s="1"/>
      <c r="AZ355" s="76"/>
      <c r="BB355" s="41"/>
    </row>
    <row r="356" spans="48:54" ht="12.75">
      <c r="AV356" s="1"/>
      <c r="AX356" s="1"/>
      <c r="AY356" s="1"/>
      <c r="AZ356" s="76"/>
      <c r="BB356" s="41"/>
    </row>
    <row r="357" spans="48:54" ht="12.75">
      <c r="AV357" s="1"/>
      <c r="AX357" s="1"/>
      <c r="AY357" s="1"/>
      <c r="AZ357" s="76"/>
      <c r="BB357" s="41"/>
    </row>
    <row r="358" spans="48:54" ht="12.75">
      <c r="AV358" s="1"/>
      <c r="AX358" s="1"/>
      <c r="AY358" s="1"/>
      <c r="AZ358" s="76"/>
      <c r="BB358" s="41"/>
    </row>
    <row r="359" spans="48:54" ht="12.75">
      <c r="AV359" s="1"/>
      <c r="AX359" s="1"/>
      <c r="AY359" s="1"/>
      <c r="AZ359" s="76"/>
      <c r="BB359" s="41"/>
    </row>
    <row r="360" spans="48:54" ht="12.75">
      <c r="AV360" s="1"/>
      <c r="AX360" s="1"/>
      <c r="AY360" s="1"/>
      <c r="AZ360" s="76"/>
      <c r="BB360" s="41"/>
    </row>
    <row r="361" spans="48:54" ht="12.75">
      <c r="AV361" s="1"/>
      <c r="AX361" s="1"/>
      <c r="AY361" s="1"/>
      <c r="AZ361" s="76"/>
      <c r="BB361" s="41"/>
    </row>
    <row r="362" spans="48:54" ht="12.75">
      <c r="AV362" s="1"/>
      <c r="AX362" s="1"/>
      <c r="AY362" s="1"/>
      <c r="AZ362" s="76"/>
      <c r="BB362" s="41"/>
    </row>
    <row r="363" spans="48:54" ht="12.75">
      <c r="AV363" s="1"/>
      <c r="AX363" s="1"/>
      <c r="AY363" s="1"/>
      <c r="AZ363" s="76"/>
      <c r="BB363" s="41"/>
    </row>
    <row r="364" spans="48:54" ht="12.75">
      <c r="AV364" s="1"/>
      <c r="AX364" s="1"/>
      <c r="AY364" s="1"/>
      <c r="AZ364" s="76"/>
      <c r="BB364" s="41"/>
    </row>
    <row r="365" spans="48:54" ht="12.75">
      <c r="AV365" s="1"/>
      <c r="AX365" s="1"/>
      <c r="AY365" s="1"/>
      <c r="AZ365" s="76"/>
      <c r="BB365" s="41"/>
    </row>
    <row r="366" spans="48:54" ht="12.75">
      <c r="AV366" s="1"/>
      <c r="AX366" s="1"/>
      <c r="AY366" s="1"/>
      <c r="AZ366" s="76"/>
      <c r="BB366" s="41"/>
    </row>
    <row r="367" spans="48:54" ht="12.75">
      <c r="AV367" s="1"/>
      <c r="AX367" s="1"/>
      <c r="AY367" s="1"/>
      <c r="AZ367" s="76"/>
      <c r="BB367" s="41"/>
    </row>
    <row r="368" spans="48:54" ht="12.75">
      <c r="AV368" s="1"/>
      <c r="AX368" s="1"/>
      <c r="AY368" s="1"/>
      <c r="AZ368" s="76"/>
      <c r="BB368" s="41"/>
    </row>
    <row r="369" spans="48:54" ht="12.75">
      <c r="AV369" s="1"/>
      <c r="AX369" s="1"/>
      <c r="AY369" s="1"/>
      <c r="AZ369" s="76"/>
      <c r="BB369" s="41"/>
    </row>
    <row r="370" spans="48:54" ht="12.75">
      <c r="AV370" s="1"/>
      <c r="AX370" s="1"/>
      <c r="AY370" s="1"/>
      <c r="AZ370" s="76"/>
      <c r="BB370" s="41"/>
    </row>
    <row r="371" spans="48:54" ht="12.75">
      <c r="AV371" s="1"/>
      <c r="AX371" s="1"/>
      <c r="AY371" s="1"/>
      <c r="AZ371" s="76"/>
      <c r="BB371" s="41"/>
    </row>
    <row r="372" spans="48:54" ht="12.75">
      <c r="AV372" s="1"/>
      <c r="AX372" s="1"/>
      <c r="AY372" s="1"/>
      <c r="AZ372" s="76"/>
      <c r="BB372" s="41"/>
    </row>
    <row r="373" spans="48:54" ht="12.75">
      <c r="AV373" s="1"/>
      <c r="AX373" s="1"/>
      <c r="AY373" s="1"/>
      <c r="AZ373" s="76"/>
      <c r="BB373" s="41"/>
    </row>
    <row r="374" spans="48:54" ht="12.75">
      <c r="AV374" s="1"/>
      <c r="AX374" s="1"/>
      <c r="AY374" s="1"/>
      <c r="AZ374" s="76"/>
      <c r="BB374" s="41"/>
    </row>
    <row r="375" spans="48:54" ht="12.75">
      <c r="AV375" s="1"/>
      <c r="AX375" s="1"/>
      <c r="AY375" s="1"/>
      <c r="AZ375" s="76"/>
      <c r="BB375" s="41"/>
    </row>
    <row r="376" spans="48:54" ht="12.75">
      <c r="AV376" s="1"/>
      <c r="AX376" s="1"/>
      <c r="AY376" s="1"/>
      <c r="AZ376" s="76"/>
      <c r="BB376" s="41"/>
    </row>
    <row r="377" spans="48:54" ht="12.75">
      <c r="AV377" s="1"/>
      <c r="AX377" s="1"/>
      <c r="AY377" s="1"/>
      <c r="AZ377" s="76"/>
      <c r="BB377" s="41"/>
    </row>
    <row r="378" spans="48:54" ht="12.75">
      <c r="AV378" s="1"/>
      <c r="AX378" s="1"/>
      <c r="AY378" s="1"/>
      <c r="AZ378" s="76"/>
      <c r="BB378" s="41"/>
    </row>
    <row r="379" spans="48:54" ht="12.75">
      <c r="AV379" s="1"/>
      <c r="AX379" s="1"/>
      <c r="AY379" s="1"/>
      <c r="AZ379" s="76"/>
      <c r="BB379" s="41"/>
    </row>
    <row r="380" spans="48:54" ht="12.75">
      <c r="AV380" s="1"/>
      <c r="AX380" s="1"/>
      <c r="AY380" s="1"/>
      <c r="AZ380" s="76"/>
      <c r="BB380" s="41"/>
    </row>
    <row r="381" spans="48:54" ht="12.75">
      <c r="AV381" s="1"/>
      <c r="AX381" s="1"/>
      <c r="AY381" s="1"/>
      <c r="AZ381" s="76"/>
      <c r="BB381" s="41"/>
    </row>
    <row r="382" spans="48:54" ht="12.75">
      <c r="AV382" s="1"/>
      <c r="AX382" s="1"/>
      <c r="AY382" s="1"/>
      <c r="AZ382" s="76"/>
      <c r="BB382" s="41"/>
    </row>
    <row r="383" spans="48:54" ht="12.75">
      <c r="AV383" s="1"/>
      <c r="AX383" s="1"/>
      <c r="AY383" s="1"/>
      <c r="AZ383" s="76"/>
      <c r="BB383" s="41"/>
    </row>
    <row r="384" spans="48:54" ht="12.75">
      <c r="AV384" s="1"/>
      <c r="AX384" s="1"/>
      <c r="AY384" s="1"/>
      <c r="AZ384" s="76"/>
      <c r="BB384" s="41"/>
    </row>
    <row r="385" spans="48:54" ht="12.75">
      <c r="AV385" s="1"/>
      <c r="AX385" s="1"/>
      <c r="AY385" s="1"/>
      <c r="AZ385" s="76"/>
      <c r="BB385" s="41"/>
    </row>
    <row r="386" spans="48:54" ht="12.75">
      <c r="AV386" s="1"/>
      <c r="AX386" s="1"/>
      <c r="AY386" s="1"/>
      <c r="AZ386" s="76"/>
      <c r="BB386" s="41"/>
    </row>
    <row r="387" spans="48:54" ht="12.75">
      <c r="AV387" s="1"/>
      <c r="AX387" s="1"/>
      <c r="AY387" s="1"/>
      <c r="AZ387" s="76"/>
      <c r="BB387" s="41"/>
    </row>
    <row r="388" spans="48:54" ht="12.75">
      <c r="AV388" s="1"/>
      <c r="AX388" s="1"/>
      <c r="AY388" s="1"/>
      <c r="AZ388" s="76"/>
      <c r="BB388" s="41"/>
    </row>
    <row r="389" spans="48:54" ht="12.75">
      <c r="AV389" s="1"/>
      <c r="AX389" s="1"/>
      <c r="AY389" s="1"/>
      <c r="AZ389" s="76"/>
      <c r="BB389" s="41"/>
    </row>
    <row r="390" spans="48:54" ht="12.75">
      <c r="AV390" s="1"/>
      <c r="AX390" s="1"/>
      <c r="AY390" s="1"/>
      <c r="AZ390" s="76"/>
      <c r="BB390" s="41"/>
    </row>
    <row r="391" spans="48:54" ht="12.75">
      <c r="AV391" s="1"/>
      <c r="AX391" s="1"/>
      <c r="AY391" s="1"/>
      <c r="AZ391" s="76"/>
      <c r="BB391" s="41"/>
    </row>
    <row r="392" spans="48:54" ht="12.75">
      <c r="AV392" s="1"/>
      <c r="AX392" s="1"/>
      <c r="AY392" s="1"/>
      <c r="AZ392" s="76"/>
      <c r="BB392" s="41"/>
    </row>
    <row r="393" spans="48:54" ht="12.75">
      <c r="AV393" s="1"/>
      <c r="AX393" s="1"/>
      <c r="AY393" s="1"/>
      <c r="AZ393" s="76"/>
      <c r="BB393" s="41"/>
    </row>
    <row r="394" spans="48:54" ht="12.75">
      <c r="AV394" s="1"/>
      <c r="AX394" s="1"/>
      <c r="AY394" s="1"/>
      <c r="AZ394" s="76"/>
      <c r="BB394" s="41"/>
    </row>
    <row r="395" spans="48:54" ht="12.75">
      <c r="AV395" s="1"/>
      <c r="AX395" s="1"/>
      <c r="AY395" s="1"/>
      <c r="AZ395" s="76"/>
      <c r="BB395" s="41"/>
    </row>
    <row r="396" spans="48:54" ht="12.75">
      <c r="AV396" s="1"/>
      <c r="AX396" s="1"/>
      <c r="AY396" s="1"/>
      <c r="AZ396" s="76"/>
      <c r="BB396" s="41"/>
    </row>
    <row r="397" spans="48:54" ht="12.75">
      <c r="AV397" s="1"/>
      <c r="AX397" s="1"/>
      <c r="AY397" s="1"/>
      <c r="AZ397" s="76"/>
      <c r="BB397" s="41"/>
    </row>
    <row r="398" spans="48:54" ht="12.75">
      <c r="AV398" s="1"/>
      <c r="AX398" s="1"/>
      <c r="AY398" s="1"/>
      <c r="AZ398" s="76"/>
      <c r="BB398" s="41"/>
    </row>
    <row r="399" spans="48:54" ht="12.75">
      <c r="AV399" s="1"/>
      <c r="AX399" s="1"/>
      <c r="AY399" s="1"/>
      <c r="AZ399" s="76"/>
      <c r="BB399" s="41"/>
    </row>
    <row r="400" spans="48:54" ht="12.75">
      <c r="AV400" s="1"/>
      <c r="AX400" s="1"/>
      <c r="AY400" s="1"/>
      <c r="AZ400" s="76"/>
      <c r="BB400" s="41"/>
    </row>
    <row r="401" spans="48:54" ht="12.75">
      <c r="AV401" s="1"/>
      <c r="AX401" s="1"/>
      <c r="AY401" s="1"/>
      <c r="AZ401" s="76"/>
      <c r="BB401" s="41"/>
    </row>
    <row r="402" spans="48:54" ht="12.75">
      <c r="AV402" s="1"/>
      <c r="AX402" s="1"/>
      <c r="AY402" s="1"/>
      <c r="AZ402" s="76"/>
      <c r="BB402" s="41"/>
    </row>
    <row r="403" spans="48:54" ht="12.75">
      <c r="AV403" s="1"/>
      <c r="AX403" s="1"/>
      <c r="AY403" s="1"/>
      <c r="AZ403" s="76"/>
      <c r="BB403" s="41"/>
    </row>
    <row r="404" spans="48:54" ht="12.75">
      <c r="AV404" s="1"/>
      <c r="AX404" s="1"/>
      <c r="AY404" s="1"/>
      <c r="AZ404" s="76"/>
      <c r="BB404" s="41"/>
    </row>
    <row r="405" spans="48:54" ht="12.75">
      <c r="AV405" s="1"/>
      <c r="AX405" s="1"/>
      <c r="AY405" s="1"/>
      <c r="AZ405" s="76"/>
      <c r="BB405" s="41"/>
    </row>
    <row r="406" spans="48:54" ht="12.75">
      <c r="AV406" s="1"/>
      <c r="AX406" s="1"/>
      <c r="AY406" s="1"/>
      <c r="AZ406" s="76"/>
      <c r="BB406" s="41"/>
    </row>
    <row r="407" spans="48:54" ht="12.75">
      <c r="AV407" s="1"/>
      <c r="AX407" s="1"/>
      <c r="AY407" s="1"/>
      <c r="AZ407" s="76"/>
      <c r="BB407" s="41"/>
    </row>
    <row r="408" spans="48:54" ht="12.75">
      <c r="AV408" s="1"/>
      <c r="AX408" s="1"/>
      <c r="AY408" s="1"/>
      <c r="AZ408" s="76"/>
      <c r="BB408" s="41"/>
    </row>
    <row r="409" spans="48:54" ht="12.75">
      <c r="AV409" s="1"/>
      <c r="AX409" s="1"/>
      <c r="AY409" s="1"/>
      <c r="AZ409" s="76"/>
      <c r="BB409" s="41"/>
    </row>
    <row r="410" spans="48:54" ht="12.75">
      <c r="AV410" s="1"/>
      <c r="AX410" s="1"/>
      <c r="AY410" s="1"/>
      <c r="AZ410" s="76"/>
      <c r="BB410" s="41"/>
    </row>
    <row r="411" spans="48:54" ht="12.75">
      <c r="AV411" s="1"/>
      <c r="AX411" s="1"/>
      <c r="AY411" s="1"/>
      <c r="AZ411" s="76"/>
      <c r="BB411" s="41"/>
    </row>
    <row r="412" spans="48:54" ht="12.75">
      <c r="AV412" s="1"/>
      <c r="AX412" s="1"/>
      <c r="AY412" s="1"/>
      <c r="AZ412" s="76"/>
      <c r="BB412" s="41"/>
    </row>
    <row r="413" spans="48:54" ht="12.75">
      <c r="AV413" s="1"/>
      <c r="AX413" s="1"/>
      <c r="AY413" s="1"/>
      <c r="AZ413" s="76"/>
      <c r="BB413" s="41"/>
    </row>
    <row r="414" spans="48:54" ht="12.75">
      <c r="AV414" s="1"/>
      <c r="AX414" s="1"/>
      <c r="AY414" s="1"/>
      <c r="AZ414" s="76"/>
      <c r="BB414" s="41"/>
    </row>
    <row r="415" spans="48:54" ht="12.75">
      <c r="AV415" s="1"/>
      <c r="AX415" s="1"/>
      <c r="AY415" s="1"/>
      <c r="AZ415" s="76"/>
      <c r="BB415" s="41"/>
    </row>
    <row r="416" spans="48:54" ht="12.75">
      <c r="AV416" s="1"/>
      <c r="AX416" s="1"/>
      <c r="AY416" s="1"/>
      <c r="AZ416" s="76"/>
      <c r="BB416" s="41"/>
    </row>
    <row r="417" spans="48:54" ht="12.75">
      <c r="AV417" s="1"/>
      <c r="AX417" s="1"/>
      <c r="AY417" s="1"/>
      <c r="AZ417" s="76"/>
      <c r="BB417" s="41"/>
    </row>
    <row r="418" spans="48:54" ht="12.75">
      <c r="AV418" s="1"/>
      <c r="AX418" s="1"/>
      <c r="AY418" s="1"/>
      <c r="AZ418" s="76"/>
      <c r="BB418" s="41"/>
    </row>
    <row r="419" spans="48:54" ht="12.75">
      <c r="AV419" s="1"/>
      <c r="AX419" s="1"/>
      <c r="AY419" s="1"/>
      <c r="AZ419" s="76"/>
      <c r="BB419" s="41"/>
    </row>
    <row r="420" spans="48:54" ht="12.75">
      <c r="AV420" s="1"/>
      <c r="AX420" s="1"/>
      <c r="AY420" s="1"/>
      <c r="AZ420" s="76"/>
      <c r="BB420" s="41"/>
    </row>
    <row r="421" spans="48:54" ht="12.75">
      <c r="AV421" s="1"/>
      <c r="AX421" s="1"/>
      <c r="AY421" s="1"/>
      <c r="AZ421" s="76"/>
      <c r="BB421" s="41"/>
    </row>
    <row r="422" spans="48:54" ht="12.75">
      <c r="AV422" s="1"/>
      <c r="AX422" s="1"/>
      <c r="AY422" s="1"/>
      <c r="AZ422" s="76"/>
      <c r="BB422" s="41"/>
    </row>
    <row r="423" spans="48:54" ht="12.75">
      <c r="AV423" s="1"/>
      <c r="AX423" s="1"/>
      <c r="AY423" s="1"/>
      <c r="AZ423" s="76"/>
      <c r="BB423" s="41"/>
    </row>
    <row r="424" spans="48:54" ht="12.75">
      <c r="AV424" s="1"/>
      <c r="AX424" s="1"/>
      <c r="AY424" s="1"/>
      <c r="AZ424" s="76"/>
      <c r="BB424" s="41"/>
    </row>
    <row r="425" spans="48:54" ht="12.75">
      <c r="AV425" s="1"/>
      <c r="AX425" s="1"/>
      <c r="AY425" s="1"/>
      <c r="AZ425" s="76"/>
      <c r="BB425" s="41"/>
    </row>
    <row r="426" spans="48:54" ht="12.75">
      <c r="AV426" s="1"/>
      <c r="AX426" s="1"/>
      <c r="AY426" s="1"/>
      <c r="AZ426" s="76"/>
      <c r="BB426" s="41"/>
    </row>
    <row r="427" spans="48:54" ht="12.75">
      <c r="AV427" s="1"/>
      <c r="AX427" s="1"/>
      <c r="AY427" s="1"/>
      <c r="AZ427" s="76"/>
      <c r="BB427" s="41"/>
    </row>
    <row r="428" spans="48:54" ht="12.75">
      <c r="AV428" s="1"/>
      <c r="AX428" s="1"/>
      <c r="AY428" s="1"/>
      <c r="AZ428" s="76"/>
      <c r="BB428" s="41"/>
    </row>
    <row r="429" spans="48:54" ht="12.75">
      <c r="AV429" s="1"/>
      <c r="AX429" s="1"/>
      <c r="AY429" s="1"/>
      <c r="AZ429" s="76"/>
      <c r="BB429" s="41"/>
    </row>
    <row r="430" spans="48:54" ht="12.75">
      <c r="AV430" s="1"/>
      <c r="AX430" s="1"/>
      <c r="AY430" s="1"/>
      <c r="AZ430" s="76"/>
      <c r="BB430" s="41"/>
    </row>
    <row r="431" spans="48:54" ht="12.75">
      <c r="AV431" s="1"/>
      <c r="AX431" s="1"/>
      <c r="AY431" s="1"/>
      <c r="AZ431" s="76"/>
      <c r="BB431" s="41"/>
    </row>
    <row r="432" spans="48:54" ht="12.75">
      <c r="AV432" s="1"/>
      <c r="AX432" s="1"/>
      <c r="AY432" s="1"/>
      <c r="AZ432" s="76"/>
      <c r="BB432" s="41"/>
    </row>
    <row r="433" spans="48:54" ht="12.75">
      <c r="AV433" s="1"/>
      <c r="AX433" s="1"/>
      <c r="AY433" s="1"/>
      <c r="AZ433" s="76"/>
      <c r="BB433" s="41"/>
    </row>
    <row r="434" spans="48:54" ht="12.75">
      <c r="AV434" s="1"/>
      <c r="AX434" s="1"/>
      <c r="AY434" s="1"/>
      <c r="AZ434" s="76"/>
      <c r="BB434" s="41"/>
    </row>
    <row r="435" spans="48:54" ht="12.75">
      <c r="AV435" s="1"/>
      <c r="AX435" s="1"/>
      <c r="AY435" s="1"/>
      <c r="AZ435" s="76"/>
      <c r="BB435" s="41"/>
    </row>
    <row r="436" spans="48:54" ht="12.75">
      <c r="AV436" s="1"/>
      <c r="AX436" s="1"/>
      <c r="AY436" s="1"/>
      <c r="AZ436" s="76"/>
      <c r="BB436" s="41"/>
    </row>
    <row r="437" spans="48:54" ht="12.75">
      <c r="AV437" s="1"/>
      <c r="AX437" s="1"/>
      <c r="AY437" s="1"/>
      <c r="AZ437" s="76"/>
      <c r="BB437" s="41"/>
    </row>
    <row r="438" spans="48:54" ht="12.75">
      <c r="AV438" s="1"/>
      <c r="AX438" s="1"/>
      <c r="AY438" s="1"/>
      <c r="AZ438" s="76"/>
      <c r="BB438" s="41"/>
    </row>
    <row r="439" spans="48:54" ht="12.75">
      <c r="AV439" s="1"/>
      <c r="AX439" s="1"/>
      <c r="AY439" s="1"/>
      <c r="AZ439" s="76"/>
      <c r="BB439" s="41"/>
    </row>
    <row r="440" spans="48:54" ht="12.75">
      <c r="AV440" s="1"/>
      <c r="AX440" s="1"/>
      <c r="AY440" s="1"/>
      <c r="AZ440" s="76"/>
      <c r="BB440" s="41"/>
    </row>
    <row r="441" spans="48:54" ht="12.75">
      <c r="AV441" s="1"/>
      <c r="AX441" s="1"/>
      <c r="AY441" s="1"/>
      <c r="AZ441" s="76"/>
      <c r="BB441" s="41"/>
    </row>
    <row r="442" spans="48:54" ht="12.75">
      <c r="AV442" s="1"/>
      <c r="AX442" s="1"/>
      <c r="AY442" s="1"/>
      <c r="AZ442" s="76"/>
      <c r="BB442" s="41"/>
    </row>
    <row r="443" spans="48:54" ht="12.75">
      <c r="AV443" s="1"/>
      <c r="AX443" s="1"/>
      <c r="AY443" s="1"/>
      <c r="AZ443" s="76"/>
      <c r="BB443" s="41"/>
    </row>
    <row r="444" spans="48:54" ht="12.75">
      <c r="AV444" s="1"/>
      <c r="AX444" s="1"/>
      <c r="AY444" s="1"/>
      <c r="AZ444" s="76"/>
      <c r="BB444" s="41"/>
    </row>
    <row r="445" spans="48:54" ht="12.75">
      <c r="AV445" s="1"/>
      <c r="AX445" s="1"/>
      <c r="AY445" s="1"/>
      <c r="AZ445" s="76"/>
      <c r="BB445" s="41"/>
    </row>
    <row r="446" spans="48:54" ht="12.75">
      <c r="AV446" s="1"/>
      <c r="AX446" s="1"/>
      <c r="AY446" s="1"/>
      <c r="AZ446" s="76"/>
      <c r="BB446" s="41"/>
    </row>
    <row r="447" spans="48:54" ht="12.75">
      <c r="AV447" s="1"/>
      <c r="AX447" s="1"/>
      <c r="AY447" s="1"/>
      <c r="AZ447" s="76"/>
      <c r="BB447" s="41"/>
    </row>
    <row r="448" spans="48:54" ht="12.75">
      <c r="AV448" s="1"/>
      <c r="AX448" s="1"/>
      <c r="AY448" s="1"/>
      <c r="AZ448" s="76"/>
      <c r="BB448" s="41"/>
    </row>
    <row r="449" spans="48:54" ht="12.75">
      <c r="AV449" s="1"/>
      <c r="AX449" s="1"/>
      <c r="AY449" s="1"/>
      <c r="AZ449" s="76"/>
      <c r="BB449" s="41"/>
    </row>
    <row r="450" spans="48:54" ht="12.75">
      <c r="AV450" s="1"/>
      <c r="AX450" s="1"/>
      <c r="AY450" s="1"/>
      <c r="AZ450" s="76"/>
      <c r="BB450" s="41"/>
    </row>
    <row r="451" spans="48:54" ht="12.75">
      <c r="AV451" s="1"/>
      <c r="AX451" s="1"/>
      <c r="AY451" s="1"/>
      <c r="AZ451" s="76"/>
      <c r="BB451" s="41"/>
    </row>
    <row r="452" spans="48:54" ht="12.75">
      <c r="AV452" s="1"/>
      <c r="AX452" s="1"/>
      <c r="AY452" s="1"/>
      <c r="AZ452" s="76"/>
      <c r="BB452" s="41"/>
    </row>
    <row r="453" spans="48:54" ht="12.75">
      <c r="AV453" s="1"/>
      <c r="AX453" s="1"/>
      <c r="AY453" s="1"/>
      <c r="AZ453" s="76"/>
      <c r="BB453" s="41"/>
    </row>
    <row r="454" spans="48:54" ht="12.75">
      <c r="AV454" s="1"/>
      <c r="AX454" s="1"/>
      <c r="AY454" s="1"/>
      <c r="AZ454" s="76"/>
      <c r="BB454" s="41"/>
    </row>
    <row r="455" spans="48:54" ht="12.75">
      <c r="AV455" s="1"/>
      <c r="AX455" s="1"/>
      <c r="AY455" s="1"/>
      <c r="AZ455" s="76"/>
      <c r="BB455" s="41"/>
    </row>
    <row r="456" spans="48:54" ht="12.75">
      <c r="AV456" s="1"/>
      <c r="AX456" s="1"/>
      <c r="AY456" s="1"/>
      <c r="AZ456" s="76"/>
      <c r="BB456" s="41"/>
    </row>
    <row r="457" spans="48:54" ht="12.75">
      <c r="AV457" s="1"/>
      <c r="AX457" s="1"/>
      <c r="AY457" s="1"/>
      <c r="AZ457" s="76"/>
      <c r="BB457" s="41"/>
    </row>
    <row r="458" spans="48:54" ht="12.75">
      <c r="AV458" s="1"/>
      <c r="AX458" s="1"/>
      <c r="AY458" s="1"/>
      <c r="AZ458" s="76"/>
      <c r="BB458" s="41"/>
    </row>
    <row r="459" spans="48:54" ht="12.75">
      <c r="AV459" s="1"/>
      <c r="AX459" s="1"/>
      <c r="AY459" s="1"/>
      <c r="AZ459" s="76"/>
      <c r="BB459" s="41"/>
    </row>
    <row r="460" spans="48:54" ht="12.75">
      <c r="AV460" s="1"/>
      <c r="AX460" s="1"/>
      <c r="AY460" s="1"/>
      <c r="AZ460" s="76"/>
      <c r="BB460" s="41"/>
    </row>
    <row r="461" spans="48:54" ht="12.75">
      <c r="AV461" s="1"/>
      <c r="AX461" s="1"/>
      <c r="AY461" s="1"/>
      <c r="AZ461" s="76"/>
      <c r="BB461" s="41"/>
    </row>
    <row r="462" spans="48:54" ht="12.75">
      <c r="AV462" s="1"/>
      <c r="AX462" s="1"/>
      <c r="AY462" s="1"/>
      <c r="AZ462" s="76"/>
      <c r="BB462" s="41"/>
    </row>
    <row r="463" spans="48:54" ht="12.75">
      <c r="AV463" s="1"/>
      <c r="AX463" s="1"/>
      <c r="AY463" s="1"/>
      <c r="AZ463" s="76"/>
      <c r="BB463" s="41"/>
    </row>
    <row r="464" spans="48:54" ht="12.75">
      <c r="AV464" s="1"/>
      <c r="AX464" s="1"/>
      <c r="AY464" s="1"/>
      <c r="AZ464" s="76"/>
      <c r="BB464" s="41"/>
    </row>
    <row r="465" spans="48:54" ht="12.75">
      <c r="AV465" s="1"/>
      <c r="AX465" s="1"/>
      <c r="AY465" s="1"/>
      <c r="AZ465" s="76"/>
      <c r="BB465" s="41"/>
    </row>
    <row r="466" spans="48:54" ht="12.75">
      <c r="AV466" s="1"/>
      <c r="AX466" s="1"/>
      <c r="AY466" s="1"/>
      <c r="AZ466" s="76"/>
      <c r="BB466" s="41"/>
    </row>
    <row r="467" spans="48:54" ht="12.75">
      <c r="AV467" s="1"/>
      <c r="AX467" s="1"/>
      <c r="AY467" s="1"/>
      <c r="AZ467" s="76"/>
      <c r="BB467" s="41"/>
    </row>
    <row r="468" spans="48:54" ht="12.75">
      <c r="AV468" s="1"/>
      <c r="AX468" s="1"/>
      <c r="AY468" s="1"/>
      <c r="AZ468" s="76"/>
      <c r="BB468" s="41"/>
    </row>
    <row r="469" spans="48:54" ht="12.75">
      <c r="AV469" s="1"/>
      <c r="AX469" s="1"/>
      <c r="AY469" s="1"/>
      <c r="AZ469" s="76"/>
      <c r="BB469" s="41"/>
    </row>
    <row r="470" spans="48:54" ht="12.75">
      <c r="AV470" s="1"/>
      <c r="AX470" s="1"/>
      <c r="AY470" s="1"/>
      <c r="AZ470" s="76"/>
      <c r="BB470" s="41"/>
    </row>
    <row r="471" spans="48:54" ht="12.75">
      <c r="AV471" s="1"/>
      <c r="AX471" s="1"/>
      <c r="AY471" s="1"/>
      <c r="AZ471" s="76"/>
      <c r="BB471" s="41"/>
    </row>
    <row r="472" spans="48:54" ht="12.75">
      <c r="AV472" s="1"/>
      <c r="AX472" s="1"/>
      <c r="AY472" s="1"/>
      <c r="AZ472" s="76"/>
      <c r="BB472" s="41"/>
    </row>
    <row r="473" spans="48:54" ht="12.75">
      <c r="AV473" s="1"/>
      <c r="AX473" s="1"/>
      <c r="AY473" s="1"/>
      <c r="AZ473" s="76"/>
      <c r="BB473" s="41"/>
    </row>
    <row r="474" spans="48:54" ht="12.75">
      <c r="AV474" s="1"/>
      <c r="AX474" s="1"/>
      <c r="AY474" s="1"/>
      <c r="AZ474" s="76"/>
      <c r="BB474" s="41"/>
    </row>
    <row r="475" spans="48:54" ht="12.75">
      <c r="AV475" s="1"/>
      <c r="AX475" s="1"/>
      <c r="AY475" s="1"/>
      <c r="AZ475" s="76"/>
      <c r="BB475" s="41"/>
    </row>
    <row r="476" spans="48:54" ht="12.75">
      <c r="AV476" s="1"/>
      <c r="AX476" s="1"/>
      <c r="AY476" s="1"/>
      <c r="AZ476" s="76"/>
      <c r="BB476" s="41"/>
    </row>
    <row r="477" spans="48:54" ht="12.75">
      <c r="AV477" s="1"/>
      <c r="AX477" s="1"/>
      <c r="AY477" s="1"/>
      <c r="AZ477" s="76"/>
      <c r="BB477" s="41"/>
    </row>
    <row r="478" spans="48:54" ht="12.75">
      <c r="AV478" s="1"/>
      <c r="AX478" s="1"/>
      <c r="AY478" s="1"/>
      <c r="AZ478" s="76"/>
      <c r="BB478" s="41"/>
    </row>
    <row r="479" spans="48:54" ht="12.75">
      <c r="AV479" s="1"/>
      <c r="AX479" s="1"/>
      <c r="AY479" s="1"/>
      <c r="AZ479" s="76"/>
      <c r="BB479" s="41"/>
    </row>
    <row r="480" spans="48:54" ht="12.75">
      <c r="AV480" s="1"/>
      <c r="AX480" s="1"/>
      <c r="AY480" s="1"/>
      <c r="AZ480" s="76"/>
      <c r="BB480" s="41"/>
    </row>
    <row r="481" spans="48:54" ht="12.75">
      <c r="AV481" s="1"/>
      <c r="AX481" s="1"/>
      <c r="AY481" s="1"/>
      <c r="AZ481" s="76"/>
      <c r="BB481" s="41"/>
    </row>
    <row r="482" spans="48:54" ht="12.75">
      <c r="AV482" s="1"/>
      <c r="AX482" s="1"/>
      <c r="AY482" s="1"/>
      <c r="AZ482" s="76"/>
      <c r="BB482" s="41"/>
    </row>
    <row r="483" spans="48:54" ht="12.75">
      <c r="AV483" s="1"/>
      <c r="AX483" s="1"/>
      <c r="AY483" s="1"/>
      <c r="AZ483" s="76"/>
      <c r="BB483" s="41"/>
    </row>
    <row r="484" spans="48:54" ht="12.75">
      <c r="AV484" s="1"/>
      <c r="AX484" s="1"/>
      <c r="AY484" s="1"/>
      <c r="AZ484" s="76"/>
      <c r="BB484" s="41"/>
    </row>
    <row r="485" spans="48:54" ht="12.75">
      <c r="AV485" s="1"/>
      <c r="AX485" s="1"/>
      <c r="AY485" s="1"/>
      <c r="AZ485" s="76"/>
      <c r="BB485" s="41"/>
    </row>
    <row r="486" spans="48:54" ht="12.75">
      <c r="AV486" s="1"/>
      <c r="AX486" s="1"/>
      <c r="AY486" s="1"/>
      <c r="AZ486" s="76"/>
      <c r="BB486" s="41"/>
    </row>
    <row r="487" spans="48:54" ht="12.75">
      <c r="AV487" s="1"/>
      <c r="AX487" s="1"/>
      <c r="AY487" s="1"/>
      <c r="AZ487" s="76"/>
      <c r="BB487" s="41"/>
    </row>
    <row r="488" spans="48:54" ht="12.75">
      <c r="AV488" s="1"/>
      <c r="AX488" s="1"/>
      <c r="AY488" s="1"/>
      <c r="AZ488" s="76"/>
      <c r="BB488" s="41"/>
    </row>
    <row r="489" spans="48:54" ht="12.75">
      <c r="AV489" s="1"/>
      <c r="AX489" s="1"/>
      <c r="AY489" s="1"/>
      <c r="AZ489" s="76"/>
      <c r="BB489" s="41"/>
    </row>
    <row r="490" spans="48:54" ht="12.75">
      <c r="AV490" s="1"/>
      <c r="AX490" s="1"/>
      <c r="AY490" s="1"/>
      <c r="AZ490" s="76"/>
      <c r="BB490" s="41"/>
    </row>
    <row r="491" spans="48:54" ht="12.75">
      <c r="AV491" s="1"/>
      <c r="AX491" s="1"/>
      <c r="AY491" s="1"/>
      <c r="AZ491" s="76"/>
      <c r="BB491" s="41"/>
    </row>
    <row r="492" spans="48:54" ht="12.75">
      <c r="AV492" s="1"/>
      <c r="AX492" s="1"/>
      <c r="AY492" s="1"/>
      <c r="AZ492" s="76"/>
      <c r="BB492" s="41"/>
    </row>
    <row r="493" spans="48:54" ht="12.75">
      <c r="AV493" s="1"/>
      <c r="AX493" s="1"/>
      <c r="AY493" s="1"/>
      <c r="AZ493" s="76"/>
      <c r="BB493" s="41"/>
    </row>
    <row r="494" spans="48:54" ht="12.75">
      <c r="AV494" s="1"/>
      <c r="AX494" s="1"/>
      <c r="AY494" s="1"/>
      <c r="AZ494" s="76"/>
      <c r="BB494" s="41"/>
    </row>
    <row r="495" spans="48:54" ht="12.75">
      <c r="AV495" s="1"/>
      <c r="AX495" s="1"/>
      <c r="AY495" s="1"/>
      <c r="AZ495" s="76"/>
      <c r="BB495" s="41"/>
    </row>
    <row r="496" spans="48:54" ht="12.75">
      <c r="AV496" s="1"/>
      <c r="AX496" s="1"/>
      <c r="AY496" s="1"/>
      <c r="AZ496" s="76"/>
      <c r="BB496" s="41"/>
    </row>
    <row r="497" spans="48:54" ht="12.75">
      <c r="AV497" s="1"/>
      <c r="AX497" s="1"/>
      <c r="AY497" s="1"/>
      <c r="AZ497" s="76"/>
      <c r="BB497" s="41"/>
    </row>
    <row r="498" spans="48:54" ht="12.75">
      <c r="AV498" s="1"/>
      <c r="AX498" s="1"/>
      <c r="AY498" s="1"/>
      <c r="AZ498" s="76"/>
      <c r="BB498" s="41"/>
    </row>
    <row r="499" spans="48:54" ht="12.75">
      <c r="AV499" s="1"/>
      <c r="AX499" s="1"/>
      <c r="AY499" s="1"/>
      <c r="AZ499" s="76"/>
      <c r="BB499" s="41"/>
    </row>
    <row r="500" spans="48:54" ht="12.75">
      <c r="AV500" s="1"/>
      <c r="AX500" s="1"/>
      <c r="AY500" s="1"/>
      <c r="AZ500" s="76"/>
      <c r="BB500" s="41"/>
    </row>
    <row r="501" spans="48:54" ht="12.75">
      <c r="AV501" s="1"/>
      <c r="AX501" s="1"/>
      <c r="AY501" s="1"/>
      <c r="AZ501" s="76"/>
      <c r="BB501" s="41"/>
    </row>
    <row r="502" spans="48:54" ht="12.75">
      <c r="AV502" s="1"/>
      <c r="AX502" s="1"/>
      <c r="AY502" s="1"/>
      <c r="AZ502" s="76"/>
      <c r="BB502" s="41"/>
    </row>
    <row r="503" spans="48:54" ht="12.75">
      <c r="AV503" s="1"/>
      <c r="AX503" s="1"/>
      <c r="AY503" s="1"/>
      <c r="AZ503" s="76"/>
      <c r="BB503" s="41"/>
    </row>
    <row r="504" spans="48:54" ht="12.75">
      <c r="AV504" s="1"/>
      <c r="AX504" s="1"/>
      <c r="AY504" s="1"/>
      <c r="AZ504" s="76"/>
      <c r="BB504" s="41"/>
    </row>
    <row r="505" spans="48:54" ht="12.75">
      <c r="AV505" s="1"/>
      <c r="AX505" s="1"/>
      <c r="AY505" s="1"/>
      <c r="AZ505" s="76"/>
      <c r="BB505" s="41"/>
    </row>
    <row r="506" spans="48:54" ht="12.75">
      <c r="AV506" s="1"/>
      <c r="AX506" s="1"/>
      <c r="AY506" s="1"/>
      <c r="AZ506" s="76"/>
      <c r="BB506" s="41"/>
    </row>
    <row r="507" spans="48:54" ht="12.75">
      <c r="AV507" s="1"/>
      <c r="AX507" s="1"/>
      <c r="AY507" s="1"/>
      <c r="AZ507" s="76"/>
      <c r="BB507" s="41"/>
    </row>
    <row r="508" spans="48:54" ht="12.75">
      <c r="AV508" s="1"/>
      <c r="AX508" s="1"/>
      <c r="AY508" s="1"/>
      <c r="AZ508" s="76"/>
      <c r="BB508" s="41"/>
    </row>
    <row r="509" spans="48:54" ht="12.75">
      <c r="AV509" s="1"/>
      <c r="AX509" s="1"/>
      <c r="AY509" s="1"/>
      <c r="AZ509" s="76"/>
      <c r="BB509" s="41"/>
    </row>
    <row r="510" spans="48:54" ht="12.75">
      <c r="AV510" s="1"/>
      <c r="AX510" s="1"/>
      <c r="AY510" s="1"/>
      <c r="AZ510" s="76"/>
      <c r="BB510" s="41"/>
    </row>
    <row r="511" spans="48:54" ht="12.75">
      <c r="AV511" s="1"/>
      <c r="AX511" s="1"/>
      <c r="AY511" s="1"/>
      <c r="AZ511" s="76"/>
      <c r="BB511" s="41"/>
    </row>
    <row r="512" spans="48:54" ht="12.75">
      <c r="AV512" s="1"/>
      <c r="AX512" s="1"/>
      <c r="AY512" s="1"/>
      <c r="AZ512" s="76"/>
      <c r="BB512" s="41"/>
    </row>
    <row r="513" spans="48:54" ht="12.75">
      <c r="AV513" s="1"/>
      <c r="AX513" s="1"/>
      <c r="AY513" s="1"/>
      <c r="AZ513" s="76"/>
      <c r="BB513" s="41"/>
    </row>
    <row r="514" spans="48:54" ht="12.75">
      <c r="AV514" s="1"/>
      <c r="AX514" s="1"/>
      <c r="AY514" s="1"/>
      <c r="AZ514" s="76"/>
      <c r="BB514" s="41"/>
    </row>
    <row r="515" spans="48:54" ht="12.75">
      <c r="AV515" s="1"/>
      <c r="AX515" s="1"/>
      <c r="AY515" s="1"/>
      <c r="AZ515" s="76"/>
      <c r="BB515" s="41"/>
    </row>
    <row r="516" spans="48:54" ht="12.75">
      <c r="AV516" s="1"/>
      <c r="AX516" s="1"/>
      <c r="AY516" s="1"/>
      <c r="AZ516" s="76"/>
      <c r="BB516" s="41"/>
    </row>
    <row r="517" spans="48:54" ht="12.75">
      <c r="AV517" s="1"/>
      <c r="AX517" s="1"/>
      <c r="AY517" s="1"/>
      <c r="AZ517" s="76"/>
      <c r="BB517" s="41"/>
    </row>
    <row r="518" spans="48:54" ht="12.75">
      <c r="AV518" s="1"/>
      <c r="AX518" s="1"/>
      <c r="AY518" s="1"/>
      <c r="AZ518" s="76"/>
      <c r="BB518" s="41"/>
    </row>
    <row r="519" spans="48:54" ht="12.75">
      <c r="AV519" s="1"/>
      <c r="AX519" s="1"/>
      <c r="AY519" s="1"/>
      <c r="AZ519" s="76"/>
      <c r="BB519" s="41"/>
    </row>
    <row r="520" spans="48:54" ht="12.75">
      <c r="AV520" s="1"/>
      <c r="AX520" s="1"/>
      <c r="AY520" s="1"/>
      <c r="AZ520" s="76"/>
      <c r="BB520" s="41"/>
    </row>
    <row r="521" spans="48:54" ht="12.75">
      <c r="AV521" s="1"/>
      <c r="AX521" s="1"/>
      <c r="AY521" s="1"/>
      <c r="AZ521" s="76"/>
      <c r="BB521" s="41"/>
    </row>
    <row r="522" spans="48:54" ht="12.75">
      <c r="AV522" s="1"/>
      <c r="AX522" s="1"/>
      <c r="AY522" s="1"/>
      <c r="AZ522" s="76"/>
      <c r="BB522" s="41"/>
    </row>
    <row r="523" spans="48:54" ht="12.75">
      <c r="AV523" s="1"/>
      <c r="AX523" s="1"/>
      <c r="AY523" s="1"/>
      <c r="AZ523" s="76"/>
      <c r="BB523" s="41"/>
    </row>
    <row r="524" spans="48:54" ht="12.75">
      <c r="AV524" s="1"/>
      <c r="AX524" s="1"/>
      <c r="AY524" s="1"/>
      <c r="AZ524" s="76"/>
      <c r="BB524" s="41"/>
    </row>
    <row r="525" spans="48:54" ht="12.75">
      <c r="AV525" s="1"/>
      <c r="AX525" s="1"/>
      <c r="AY525" s="1"/>
      <c r="AZ525" s="76"/>
      <c r="BB525" s="41"/>
    </row>
    <row r="526" spans="48:54" ht="12.75">
      <c r="AV526" s="1"/>
      <c r="AX526" s="1"/>
      <c r="AY526" s="1"/>
      <c r="AZ526" s="76"/>
      <c r="BB526" s="41"/>
    </row>
    <row r="527" spans="48:54" ht="12.75">
      <c r="AV527" s="1"/>
      <c r="AX527" s="1"/>
      <c r="AY527" s="1"/>
      <c r="AZ527" s="76"/>
      <c r="BB527" s="41"/>
    </row>
    <row r="528" spans="48:54" ht="12.75">
      <c r="AV528" s="1"/>
      <c r="AX528" s="1"/>
      <c r="AY528" s="1"/>
      <c r="AZ528" s="76"/>
      <c r="BB528" s="41"/>
    </row>
    <row r="529" spans="48:54" ht="12.75">
      <c r="AV529" s="1"/>
      <c r="AX529" s="1"/>
      <c r="AY529" s="1"/>
      <c r="AZ529" s="76"/>
      <c r="BB529" s="41"/>
    </row>
    <row r="530" spans="48:54" ht="12.75">
      <c r="AV530" s="1"/>
      <c r="AX530" s="1"/>
      <c r="AY530" s="1"/>
      <c r="AZ530" s="76"/>
      <c r="BB530" s="41"/>
    </row>
    <row r="531" spans="48:54" ht="12.75">
      <c r="AV531" s="1"/>
      <c r="AX531" s="1"/>
      <c r="AY531" s="1"/>
      <c r="AZ531" s="76"/>
      <c r="BB531" s="41"/>
    </row>
    <row r="532" spans="48:54" ht="12.75">
      <c r="AV532" s="1"/>
      <c r="AX532" s="1"/>
      <c r="AY532" s="1"/>
      <c r="AZ532" s="76"/>
      <c r="BB532" s="41"/>
    </row>
    <row r="533" spans="48:54" ht="12.75">
      <c r="AV533" s="1"/>
      <c r="AX533" s="1"/>
      <c r="AY533" s="1"/>
      <c r="AZ533" s="76"/>
      <c r="BB533" s="41"/>
    </row>
    <row r="534" spans="48:54" ht="12.75">
      <c r="AV534" s="1"/>
      <c r="AX534" s="1"/>
      <c r="AY534" s="1"/>
      <c r="AZ534" s="76"/>
      <c r="BB534" s="41"/>
    </row>
    <row r="535" spans="48:54" ht="12.75">
      <c r="AV535" s="1"/>
      <c r="AX535" s="1"/>
      <c r="AY535" s="1"/>
      <c r="AZ535" s="76"/>
      <c r="BB535" s="41"/>
    </row>
    <row r="536" spans="48:54" ht="12.75">
      <c r="AV536" s="1"/>
      <c r="AX536" s="1"/>
      <c r="AY536" s="1"/>
      <c r="AZ536" s="76"/>
      <c r="BB536" s="41"/>
    </row>
    <row r="537" spans="48:54" ht="12.75">
      <c r="AV537" s="1"/>
      <c r="AX537" s="1"/>
      <c r="AY537" s="1"/>
      <c r="AZ537" s="76"/>
      <c r="BB537" s="41"/>
    </row>
    <row r="538" spans="48:54" ht="12.75">
      <c r="AV538" s="1"/>
      <c r="AX538" s="1"/>
      <c r="AY538" s="1"/>
      <c r="AZ538" s="76"/>
      <c r="BB538" s="41"/>
    </row>
    <row r="539" spans="48:54" ht="12.75">
      <c r="AV539" s="1"/>
      <c r="AX539" s="1"/>
      <c r="AY539" s="1"/>
      <c r="AZ539" s="76"/>
      <c r="BB539" s="41"/>
    </row>
    <row r="540" spans="48:54" ht="12.75">
      <c r="AV540" s="1"/>
      <c r="AX540" s="1"/>
      <c r="AY540" s="1"/>
      <c r="AZ540" s="76"/>
      <c r="BB540" s="41"/>
    </row>
    <row r="541" spans="48:54" ht="12.75">
      <c r="AV541" s="1"/>
      <c r="AX541" s="1"/>
      <c r="AY541" s="1"/>
      <c r="AZ541" s="76"/>
      <c r="BB541" s="41"/>
    </row>
    <row r="542" spans="48:54" ht="12.75">
      <c r="AV542" s="1"/>
      <c r="AX542" s="1"/>
      <c r="AY542" s="1"/>
      <c r="AZ542" s="76"/>
      <c r="BB542" s="41"/>
    </row>
    <row r="543" spans="48:54" ht="12.75">
      <c r="AV543" s="1"/>
      <c r="AX543" s="1"/>
      <c r="AY543" s="1"/>
      <c r="AZ543" s="76"/>
      <c r="BB543" s="41"/>
    </row>
    <row r="544" spans="48:54" ht="12.75">
      <c r="AV544" s="1"/>
      <c r="AX544" s="1"/>
      <c r="AY544" s="1"/>
      <c r="AZ544" s="76"/>
      <c r="BB544" s="41"/>
    </row>
    <row r="545" spans="48:54" ht="12.75">
      <c r="AV545" s="1"/>
      <c r="AX545" s="1"/>
      <c r="AY545" s="1"/>
      <c r="AZ545" s="76"/>
      <c r="BB545" s="41"/>
    </row>
    <row r="546" spans="48:54" ht="12.75">
      <c r="AV546" s="1"/>
      <c r="AX546" s="1"/>
      <c r="AY546" s="1"/>
      <c r="AZ546" s="76"/>
      <c r="BB546" s="41"/>
    </row>
    <row r="547" spans="48:54" ht="12.75">
      <c r="AV547" s="1"/>
      <c r="AX547" s="1"/>
      <c r="AY547" s="1"/>
      <c r="AZ547" s="76"/>
      <c r="BB547" s="41"/>
    </row>
    <row r="548" spans="48:54" ht="12.75">
      <c r="AV548" s="1"/>
      <c r="AX548" s="1"/>
      <c r="AY548" s="1"/>
      <c r="AZ548" s="76"/>
      <c r="BB548" s="41"/>
    </row>
    <row r="549" spans="48:54" ht="12.75">
      <c r="AV549" s="1"/>
      <c r="AX549" s="1"/>
      <c r="AY549" s="1"/>
      <c r="AZ549" s="76"/>
      <c r="BB549" s="41"/>
    </row>
    <row r="550" spans="48:54" ht="12.75">
      <c r="AV550" s="1"/>
      <c r="AX550" s="1"/>
      <c r="AY550" s="1"/>
      <c r="AZ550" s="76"/>
      <c r="BB550" s="41"/>
    </row>
    <row r="551" spans="48:54" ht="12.75">
      <c r="AV551" s="1"/>
      <c r="AX551" s="1"/>
      <c r="AY551" s="1"/>
      <c r="AZ551" s="76"/>
      <c r="BB551" s="41"/>
    </row>
    <row r="552" spans="48:54" ht="12.75">
      <c r="AV552" s="1"/>
      <c r="AX552" s="1"/>
      <c r="AY552" s="1"/>
      <c r="AZ552" s="76"/>
      <c r="BB552" s="41"/>
    </row>
    <row r="553" spans="48:54" ht="12.75">
      <c r="AV553" s="1"/>
      <c r="AX553" s="1"/>
      <c r="AY553" s="1"/>
      <c r="AZ553" s="76"/>
      <c r="BB553" s="41"/>
    </row>
    <row r="554" spans="48:54" ht="12.75">
      <c r="AV554" s="1"/>
      <c r="AX554" s="1"/>
      <c r="AY554" s="1"/>
      <c r="AZ554" s="76"/>
      <c r="BB554" s="41"/>
    </row>
    <row r="555" spans="48:54" ht="12.75">
      <c r="AV555" s="1"/>
      <c r="AX555" s="1"/>
      <c r="AY555" s="1"/>
      <c r="AZ555" s="76"/>
      <c r="BB555" s="41"/>
    </row>
    <row r="556" spans="48:54" ht="12.75">
      <c r="AV556" s="1"/>
      <c r="AX556" s="1"/>
      <c r="AY556" s="1"/>
      <c r="AZ556" s="76"/>
      <c r="BB556" s="41"/>
    </row>
    <row r="557" spans="48:54" ht="12.75">
      <c r="AV557" s="1"/>
      <c r="AX557" s="1"/>
      <c r="AY557" s="1"/>
      <c r="AZ557" s="76"/>
      <c r="BB557" s="41"/>
    </row>
    <row r="558" spans="48:54" ht="12.75">
      <c r="AV558" s="1"/>
      <c r="AX558" s="1"/>
      <c r="AY558" s="1"/>
      <c r="AZ558" s="76"/>
      <c r="BB558" s="41"/>
    </row>
    <row r="559" spans="48:54" ht="12.75">
      <c r="AV559" s="1"/>
      <c r="AX559" s="1"/>
      <c r="AY559" s="1"/>
      <c r="AZ559" s="76"/>
      <c r="BB559" s="41"/>
    </row>
    <row r="560" spans="48:54" ht="12.75">
      <c r="AV560" s="1"/>
      <c r="AX560" s="1"/>
      <c r="AY560" s="1"/>
      <c r="AZ560" s="76"/>
      <c r="BB560" s="41"/>
    </row>
    <row r="561" spans="48:54" ht="12.75">
      <c r="AV561" s="1"/>
      <c r="AX561" s="1"/>
      <c r="AY561" s="1"/>
      <c r="AZ561" s="76"/>
      <c r="BB561" s="41"/>
    </row>
    <row r="562" spans="48:54" ht="12.75">
      <c r="AV562" s="1"/>
      <c r="AX562" s="1"/>
      <c r="AY562" s="1"/>
      <c r="AZ562" s="76"/>
      <c r="BB562" s="41"/>
    </row>
    <row r="563" spans="48:54" ht="12.75">
      <c r="AV563" s="1"/>
      <c r="AX563" s="1"/>
      <c r="AY563" s="1"/>
      <c r="AZ563" s="76"/>
      <c r="BB563" s="41"/>
    </row>
    <row r="564" spans="48:54" ht="12.75">
      <c r="AV564" s="1"/>
      <c r="AX564" s="1"/>
      <c r="AY564" s="1"/>
      <c r="AZ564" s="76"/>
      <c r="BB564" s="41"/>
    </row>
    <row r="565" spans="48:54" ht="12.75">
      <c r="AV565" s="1"/>
      <c r="AX565" s="1"/>
      <c r="AY565" s="1"/>
      <c r="AZ565" s="76"/>
      <c r="BB565" s="41"/>
    </row>
    <row r="566" spans="48:54" ht="12.75">
      <c r="AV566" s="1"/>
      <c r="AX566" s="1"/>
      <c r="AY566" s="1"/>
      <c r="AZ566" s="76"/>
      <c r="BB566" s="41"/>
    </row>
    <row r="567" spans="48:54" ht="12.75">
      <c r="AV567" s="1"/>
      <c r="AX567" s="1"/>
      <c r="AY567" s="1"/>
      <c r="AZ567" s="76"/>
      <c r="BB567" s="41"/>
    </row>
    <row r="568" spans="48:54" ht="12.75">
      <c r="AV568" s="1"/>
      <c r="AX568" s="1"/>
      <c r="AY568" s="1"/>
      <c r="AZ568" s="76"/>
      <c r="BB568" s="41"/>
    </row>
    <row r="569" spans="48:54" ht="12.75">
      <c r="AV569" s="1"/>
      <c r="AX569" s="1"/>
      <c r="AY569" s="1"/>
      <c r="AZ569" s="76"/>
      <c r="BB569" s="41"/>
    </row>
    <row r="570" spans="48:54" ht="12.75">
      <c r="AV570" s="1"/>
      <c r="AX570" s="1"/>
      <c r="AY570" s="1"/>
      <c r="AZ570" s="76"/>
      <c r="BB570" s="41"/>
    </row>
    <row r="571" spans="48:54" ht="12.75">
      <c r="AV571" s="1"/>
      <c r="AX571" s="1"/>
      <c r="AY571" s="1"/>
      <c r="AZ571" s="76"/>
      <c r="BB571" s="41"/>
    </row>
    <row r="572" spans="48:54" ht="12.75">
      <c r="AV572" s="1"/>
      <c r="AX572" s="1"/>
      <c r="AY572" s="1"/>
      <c r="AZ572" s="76"/>
      <c r="BB572" s="41"/>
    </row>
    <row r="573" spans="48:54" ht="12.75">
      <c r="AV573" s="1"/>
      <c r="AX573" s="1"/>
      <c r="AY573" s="1"/>
      <c r="AZ573" s="76"/>
      <c r="BB573" s="41"/>
    </row>
    <row r="574" spans="48:54" ht="12.75">
      <c r="AV574" s="1"/>
      <c r="AX574" s="1"/>
      <c r="AY574" s="1"/>
      <c r="AZ574" s="76"/>
      <c r="BB574" s="41"/>
    </row>
    <row r="575" spans="48:54" ht="12.75">
      <c r="AV575" s="1"/>
      <c r="AX575" s="1"/>
      <c r="AY575" s="1"/>
      <c r="AZ575" s="76"/>
      <c r="BB575" s="41"/>
    </row>
    <row r="576" spans="48:54" ht="12.75">
      <c r="AV576" s="1"/>
      <c r="AX576" s="1"/>
      <c r="AY576" s="1"/>
      <c r="AZ576" s="76"/>
      <c r="BB576" s="41"/>
    </row>
    <row r="577" spans="48:54" ht="12.75">
      <c r="AV577" s="1"/>
      <c r="AX577" s="1"/>
      <c r="AY577" s="1"/>
      <c r="AZ577" s="76"/>
      <c r="BB577" s="41"/>
    </row>
    <row r="578" spans="48:54" ht="12.75">
      <c r="AV578" s="1"/>
      <c r="AX578" s="1"/>
      <c r="AY578" s="1"/>
      <c r="AZ578" s="76"/>
      <c r="BB578" s="41"/>
    </row>
    <row r="579" spans="48:54" ht="12.75">
      <c r="AV579" s="1"/>
      <c r="AX579" s="1"/>
      <c r="AY579" s="1"/>
      <c r="AZ579" s="76"/>
      <c r="BB579" s="41"/>
    </row>
    <row r="580" spans="48:54" ht="12.75">
      <c r="AV580" s="1"/>
      <c r="AX580" s="1"/>
      <c r="AY580" s="1"/>
      <c r="AZ580" s="76"/>
      <c r="BB580" s="41"/>
    </row>
    <row r="581" spans="48:54" ht="12.75">
      <c r="AV581" s="1"/>
      <c r="AX581" s="1"/>
      <c r="AY581" s="1"/>
      <c r="AZ581" s="76"/>
      <c r="BB581" s="41"/>
    </row>
    <row r="582" spans="48:54" ht="12.75">
      <c r="AV582" s="1"/>
      <c r="AX582" s="1"/>
      <c r="AY582" s="1"/>
      <c r="AZ582" s="76"/>
      <c r="BB582" s="41"/>
    </row>
    <row r="583" spans="48:54" ht="12.75">
      <c r="AV583" s="1"/>
      <c r="AX583" s="1"/>
      <c r="AY583" s="1"/>
      <c r="AZ583" s="76"/>
      <c r="BB583" s="41"/>
    </row>
    <row r="584" spans="48:54" ht="12.75">
      <c r="AV584" s="1"/>
      <c r="AX584" s="1"/>
      <c r="AY584" s="1"/>
      <c r="AZ584" s="76"/>
      <c r="BB584" s="41"/>
    </row>
    <row r="585" spans="48:54" ht="12.75">
      <c r="AV585" s="1"/>
      <c r="AX585" s="1"/>
      <c r="AY585" s="1"/>
      <c r="AZ585" s="76"/>
      <c r="BB585" s="41"/>
    </row>
    <row r="586" spans="48:54" ht="12.75">
      <c r="AV586" s="1"/>
      <c r="AX586" s="1"/>
      <c r="AY586" s="1"/>
      <c r="AZ586" s="76"/>
      <c r="BB586" s="41"/>
    </row>
    <row r="587" spans="48:54" ht="12.75">
      <c r="AV587" s="1"/>
      <c r="AX587" s="1"/>
      <c r="AY587" s="1"/>
      <c r="AZ587" s="76"/>
      <c r="BB587" s="41"/>
    </row>
    <row r="588" spans="48:54" ht="12.75">
      <c r="AV588" s="1"/>
      <c r="AX588" s="1"/>
      <c r="AY588" s="1"/>
      <c r="AZ588" s="76"/>
      <c r="BB588" s="41"/>
    </row>
    <row r="589" spans="48:54" ht="12.75">
      <c r="AV589" s="1"/>
      <c r="AX589" s="1"/>
      <c r="AY589" s="1"/>
      <c r="AZ589" s="76"/>
      <c r="BB589" s="41"/>
    </row>
    <row r="590" spans="48:54" ht="12.75">
      <c r="AV590" s="1"/>
      <c r="AX590" s="1"/>
      <c r="AY590" s="1"/>
      <c r="AZ590" s="76"/>
      <c r="BB590" s="41"/>
    </row>
    <row r="591" spans="48:54" ht="12.75">
      <c r="AV591" s="1"/>
      <c r="AX591" s="1"/>
      <c r="AY591" s="1"/>
      <c r="AZ591" s="76"/>
      <c r="BB591" s="41"/>
    </row>
    <row r="592" spans="48:54" ht="12.75">
      <c r="AV592" s="1"/>
      <c r="AX592" s="1"/>
      <c r="AY592" s="1"/>
      <c r="AZ592" s="76"/>
      <c r="BB592" s="41"/>
    </row>
    <row r="593" spans="48:54" ht="12.75">
      <c r="AV593" s="1"/>
      <c r="AX593" s="1"/>
      <c r="AY593" s="1"/>
      <c r="AZ593" s="76"/>
      <c r="BB593" s="41"/>
    </row>
    <row r="594" spans="48:54" ht="12.75">
      <c r="AV594" s="1"/>
      <c r="AX594" s="1"/>
      <c r="AY594" s="1"/>
      <c r="AZ594" s="76"/>
      <c r="BB594" s="41"/>
    </row>
    <row r="595" spans="48:54" ht="12.75">
      <c r="AV595" s="1"/>
      <c r="AX595" s="1"/>
      <c r="AY595" s="1"/>
      <c r="AZ595" s="76"/>
      <c r="BB595" s="41"/>
    </row>
    <row r="596" spans="48:54" ht="12.75">
      <c r="AV596" s="1"/>
      <c r="AX596" s="1"/>
      <c r="AY596" s="1"/>
      <c r="AZ596" s="76"/>
      <c r="BB596" s="41"/>
    </row>
    <row r="597" spans="48:54" ht="12.75">
      <c r="AV597" s="1"/>
      <c r="AX597" s="1"/>
      <c r="AY597" s="1"/>
      <c r="AZ597" s="76"/>
      <c r="BB597" s="41"/>
    </row>
    <row r="598" spans="48:54" ht="12.75">
      <c r="AV598" s="1"/>
      <c r="AX598" s="1"/>
      <c r="AY598" s="1"/>
      <c r="AZ598" s="76"/>
      <c r="BB598" s="41"/>
    </row>
    <row r="599" spans="48:54" ht="12.75">
      <c r="AV599" s="1"/>
      <c r="AX599" s="1"/>
      <c r="AY599" s="1"/>
      <c r="AZ599" s="76"/>
      <c r="BB599" s="41"/>
    </row>
    <row r="600" spans="48:54" ht="12.75">
      <c r="AV600" s="1"/>
      <c r="AX600" s="1"/>
      <c r="AY600" s="1"/>
      <c r="AZ600" s="76"/>
      <c r="BB600" s="41"/>
    </row>
    <row r="601" spans="48:54" ht="12.75">
      <c r="AV601" s="1"/>
      <c r="AX601" s="1"/>
      <c r="AY601" s="1"/>
      <c r="AZ601" s="76"/>
      <c r="BB601" s="41"/>
    </row>
    <row r="602" spans="48:54" ht="12.75">
      <c r="AV602" s="1"/>
      <c r="AX602" s="1"/>
      <c r="AY602" s="1"/>
      <c r="AZ602" s="76"/>
      <c r="BB602" s="41"/>
    </row>
    <row r="603" spans="48:54" ht="12.75">
      <c r="AV603" s="1"/>
      <c r="AX603" s="1"/>
      <c r="AY603" s="1"/>
      <c r="AZ603" s="76"/>
      <c r="BB603" s="41"/>
    </row>
    <row r="604" spans="48:54" ht="12.75">
      <c r="AV604" s="1"/>
      <c r="AX604" s="1"/>
      <c r="AY604" s="1"/>
      <c r="AZ604" s="76"/>
      <c r="BB604" s="41"/>
    </row>
    <row r="605" spans="48:54" ht="12.75">
      <c r="AV605" s="1"/>
      <c r="AX605" s="1"/>
      <c r="AY605" s="1"/>
      <c r="AZ605" s="76"/>
      <c r="BB605" s="41"/>
    </row>
    <row r="606" spans="48:54" ht="12.75">
      <c r="AV606" s="1"/>
      <c r="AX606" s="1"/>
      <c r="AY606" s="1"/>
      <c r="AZ606" s="76"/>
      <c r="BB606" s="41"/>
    </row>
    <row r="607" spans="48:54" ht="12.75">
      <c r="AV607" s="1"/>
      <c r="AX607" s="1"/>
      <c r="AY607" s="1"/>
      <c r="AZ607" s="76"/>
      <c r="BB607" s="41"/>
    </row>
    <row r="608" spans="48:54" ht="12.75">
      <c r="AV608" s="1"/>
      <c r="AX608" s="1"/>
      <c r="AY608" s="1"/>
      <c r="AZ608" s="76"/>
      <c r="BB608" s="41"/>
    </row>
    <row r="609" spans="48:54" ht="12.75">
      <c r="AV609" s="1"/>
      <c r="AX609" s="1"/>
      <c r="AY609" s="1"/>
      <c r="AZ609" s="76"/>
      <c r="BB609" s="41"/>
    </row>
    <row r="610" spans="48:54" ht="12.75">
      <c r="AV610" s="1"/>
      <c r="AX610" s="1"/>
      <c r="AY610" s="1"/>
      <c r="AZ610" s="76"/>
      <c r="BB610" s="41"/>
    </row>
    <row r="611" spans="48:54" ht="12.75">
      <c r="AV611" s="1"/>
      <c r="AX611" s="1"/>
      <c r="AY611" s="1"/>
      <c r="AZ611" s="76"/>
      <c r="BB611" s="41"/>
    </row>
    <row r="612" spans="48:54" ht="12.75">
      <c r="AV612" s="1"/>
      <c r="AX612" s="1"/>
      <c r="AY612" s="1"/>
      <c r="AZ612" s="76"/>
      <c r="BB612" s="41"/>
    </row>
    <row r="613" spans="48:54" ht="12.75">
      <c r="AV613" s="1"/>
      <c r="AX613" s="1"/>
      <c r="AY613" s="1"/>
      <c r="AZ613" s="76"/>
      <c r="BB613" s="41"/>
    </row>
    <row r="614" spans="48:54" ht="12.75">
      <c r="AV614" s="1"/>
      <c r="AX614" s="1"/>
      <c r="AY614" s="1"/>
      <c r="AZ614" s="76"/>
      <c r="BB614" s="41"/>
    </row>
    <row r="615" spans="48:54" ht="12.75">
      <c r="AV615" s="1"/>
      <c r="AX615" s="1"/>
      <c r="AY615" s="1"/>
      <c r="AZ615" s="76"/>
      <c r="BB615" s="41"/>
    </row>
    <row r="616" spans="48:54" ht="12.75">
      <c r="AV616" s="1"/>
      <c r="AX616" s="1"/>
      <c r="AY616" s="1"/>
      <c r="AZ616" s="76"/>
      <c r="BB616" s="41"/>
    </row>
    <row r="617" spans="48:54" ht="12.75">
      <c r="AV617" s="1"/>
      <c r="AX617" s="1"/>
      <c r="AY617" s="1"/>
      <c r="AZ617" s="76"/>
      <c r="BB617" s="41"/>
    </row>
    <row r="618" spans="48:54" ht="12.75">
      <c r="AV618" s="1"/>
      <c r="AX618" s="1"/>
      <c r="AY618" s="1"/>
      <c r="AZ618" s="76"/>
      <c r="BB618" s="41"/>
    </row>
    <row r="619" spans="48:54" ht="12.75">
      <c r="AV619" s="1"/>
      <c r="AX619" s="1"/>
      <c r="AY619" s="1"/>
      <c r="AZ619" s="76"/>
      <c r="BB619" s="41"/>
    </row>
    <row r="620" spans="48:54" ht="12.75">
      <c r="AV620" s="1"/>
      <c r="AX620" s="1"/>
      <c r="AY620" s="1"/>
      <c r="AZ620" s="76"/>
      <c r="BB620" s="41"/>
    </row>
    <row r="621" spans="48:54" ht="12.75">
      <c r="AV621" s="1"/>
      <c r="AX621" s="1"/>
      <c r="AY621" s="1"/>
      <c r="AZ621" s="76"/>
      <c r="BB621" s="41"/>
    </row>
    <row r="622" spans="48:54" ht="12.75">
      <c r="AV622" s="1"/>
      <c r="AX622" s="1"/>
      <c r="AY622" s="1"/>
      <c r="AZ622" s="76"/>
      <c r="BB622" s="41"/>
    </row>
    <row r="623" spans="48:54" ht="12.75">
      <c r="AV623" s="1"/>
      <c r="AX623" s="1"/>
      <c r="AY623" s="1"/>
      <c r="AZ623" s="76"/>
      <c r="BB623" s="41"/>
    </row>
    <row r="624" spans="48:54" ht="12.75">
      <c r="AV624" s="1"/>
      <c r="AX624" s="1"/>
      <c r="AY624" s="1"/>
      <c r="AZ624" s="76"/>
      <c r="BB624" s="41"/>
    </row>
    <row r="625" spans="48:54" ht="12.75">
      <c r="AV625" s="1"/>
      <c r="AX625" s="1"/>
      <c r="AY625" s="1"/>
      <c r="AZ625" s="76"/>
      <c r="BB625" s="41"/>
    </row>
    <row r="626" spans="48:54" ht="12.75">
      <c r="AV626" s="1"/>
      <c r="AX626" s="1"/>
      <c r="AY626" s="1"/>
      <c r="AZ626" s="76"/>
      <c r="BB626" s="41"/>
    </row>
    <row r="627" spans="48:54" ht="12.75">
      <c r="AV627" s="1"/>
      <c r="AX627" s="1"/>
      <c r="AY627" s="1"/>
      <c r="AZ627" s="76"/>
      <c r="BB627" s="41"/>
    </row>
    <row r="628" spans="48:54" ht="12.75">
      <c r="AV628" s="1"/>
      <c r="AX628" s="1"/>
      <c r="AY628" s="1"/>
      <c r="AZ628" s="76"/>
      <c r="BB628" s="41"/>
    </row>
    <row r="629" spans="48:54" ht="12.75">
      <c r="AV629" s="1"/>
      <c r="AX629" s="1"/>
      <c r="AY629" s="1"/>
      <c r="AZ629" s="76"/>
      <c r="BB629" s="41"/>
    </row>
    <row r="630" spans="48:54" ht="12.75">
      <c r="AV630" s="1"/>
      <c r="AX630" s="1"/>
      <c r="AY630" s="1"/>
      <c r="AZ630" s="76"/>
      <c r="BB630" s="41"/>
    </row>
    <row r="631" spans="48:54" ht="12.75">
      <c r="AV631" s="1"/>
      <c r="AX631" s="1"/>
      <c r="AY631" s="1"/>
      <c r="AZ631" s="76"/>
      <c r="BB631" s="41"/>
    </row>
    <row r="632" spans="48:54" ht="12.75">
      <c r="AV632" s="1"/>
      <c r="AX632" s="1"/>
      <c r="AY632" s="1"/>
      <c r="AZ632" s="76"/>
      <c r="BB632" s="41"/>
    </row>
    <row r="633" spans="48:54" ht="12.75">
      <c r="AV633" s="1"/>
      <c r="AX633" s="1"/>
      <c r="AY633" s="1"/>
      <c r="AZ633" s="76"/>
      <c r="BB633" s="41"/>
    </row>
    <row r="634" spans="48:54" ht="12.75">
      <c r="AV634" s="1"/>
      <c r="AX634" s="1"/>
      <c r="AY634" s="1"/>
      <c r="AZ634" s="76"/>
      <c r="BB634" s="41"/>
    </row>
    <row r="635" spans="48:54" ht="12.75">
      <c r="AV635" s="1"/>
      <c r="AX635" s="1"/>
      <c r="AY635" s="1"/>
      <c r="AZ635" s="76"/>
      <c r="BB635" s="41"/>
    </row>
    <row r="636" spans="48:54" ht="12.75">
      <c r="AV636" s="1"/>
      <c r="AX636" s="1"/>
      <c r="AY636" s="1"/>
      <c r="AZ636" s="76"/>
      <c r="BB636" s="41"/>
    </row>
    <row r="637" spans="48:54" ht="12.75">
      <c r="AV637" s="1"/>
      <c r="AX637" s="1"/>
      <c r="AY637" s="1"/>
      <c r="AZ637" s="76"/>
      <c r="BB637" s="41"/>
    </row>
    <row r="638" spans="48:54" ht="12.75">
      <c r="AV638" s="1"/>
      <c r="AX638" s="1"/>
      <c r="AY638" s="1"/>
      <c r="AZ638" s="76"/>
      <c r="BB638" s="41"/>
    </row>
    <row r="639" spans="48:54" ht="12.75">
      <c r="AV639" s="1"/>
      <c r="AX639" s="1"/>
      <c r="AY639" s="1"/>
      <c r="AZ639" s="76"/>
      <c r="BB639" s="41"/>
    </row>
    <row r="640" spans="48:54" ht="12.75">
      <c r="AV640" s="1"/>
      <c r="AX640" s="1"/>
      <c r="AY640" s="1"/>
      <c r="AZ640" s="76"/>
      <c r="BB640" s="41"/>
    </row>
    <row r="641" spans="48:54" ht="12.75">
      <c r="AV641" s="1"/>
      <c r="AX641" s="1"/>
      <c r="AY641" s="1"/>
      <c r="AZ641" s="76"/>
      <c r="BB641" s="41"/>
    </row>
    <row r="642" spans="48:54" ht="12.75">
      <c r="AV642" s="1"/>
      <c r="AX642" s="1"/>
      <c r="AY642" s="1"/>
      <c r="AZ642" s="76"/>
      <c r="BB642" s="41"/>
    </row>
    <row r="643" spans="48:54" ht="12.75">
      <c r="AV643" s="1"/>
      <c r="AX643" s="1"/>
      <c r="AY643" s="1"/>
      <c r="AZ643" s="76"/>
      <c r="BB643" s="41"/>
    </row>
    <row r="644" spans="48:54" ht="12.75">
      <c r="AV644" s="1"/>
      <c r="AX644" s="1"/>
      <c r="AY644" s="1"/>
      <c r="AZ644" s="76"/>
      <c r="BB644" s="41"/>
    </row>
    <row r="645" spans="48:54" ht="12.75">
      <c r="AV645" s="1"/>
      <c r="AX645" s="1"/>
      <c r="AY645" s="1"/>
      <c r="AZ645" s="76"/>
      <c r="BB645" s="41"/>
    </row>
    <row r="646" spans="48:54" ht="12.75">
      <c r="AV646" s="1"/>
      <c r="AX646" s="1"/>
      <c r="AY646" s="1"/>
      <c r="AZ646" s="76"/>
      <c r="BB646" s="41"/>
    </row>
    <row r="647" spans="48:54" ht="12.75">
      <c r="AV647" s="1"/>
      <c r="AX647" s="1"/>
      <c r="AY647" s="1"/>
      <c r="AZ647" s="76"/>
      <c r="BB647" s="41"/>
    </row>
    <row r="648" spans="48:54" ht="12.75">
      <c r="AV648" s="1"/>
      <c r="AX648" s="1"/>
      <c r="AY648" s="1"/>
      <c r="AZ648" s="76"/>
      <c r="BB648" s="41"/>
    </row>
    <row r="649" spans="48:54" ht="12.75">
      <c r="AV649" s="1"/>
      <c r="AX649" s="1"/>
      <c r="AY649" s="1"/>
      <c r="AZ649" s="76"/>
      <c r="BB649" s="41"/>
    </row>
    <row r="650" spans="48:54" ht="12.75">
      <c r="AV650" s="1"/>
      <c r="AX650" s="1"/>
      <c r="AY650" s="1"/>
      <c r="AZ650" s="76"/>
      <c r="BB650" s="41"/>
    </row>
    <row r="651" spans="48:54" ht="12.75">
      <c r="AV651" s="1"/>
      <c r="AX651" s="1"/>
      <c r="AY651" s="1"/>
      <c r="AZ651" s="76"/>
      <c r="BB651" s="41"/>
    </row>
    <row r="652" spans="48:54" ht="12.75">
      <c r="AV652" s="1"/>
      <c r="AX652" s="1"/>
      <c r="AY652" s="1"/>
      <c r="AZ652" s="76"/>
      <c r="BB652" s="41"/>
    </row>
    <row r="653" spans="48:54" ht="12.75">
      <c r="AV653" s="1"/>
      <c r="AX653" s="1"/>
      <c r="AY653" s="1"/>
      <c r="AZ653" s="76"/>
      <c r="BB653" s="41"/>
    </row>
    <row r="654" spans="48:54" ht="12.75">
      <c r="AV654" s="1"/>
      <c r="AX654" s="1"/>
      <c r="AY654" s="1"/>
      <c r="AZ654" s="76"/>
      <c r="BB654" s="41"/>
    </row>
    <row r="655" spans="48:54" ht="12.75">
      <c r="AV655" s="1"/>
      <c r="AX655" s="1"/>
      <c r="AY655" s="1"/>
      <c r="AZ655" s="76"/>
      <c r="BB655" s="41"/>
    </row>
    <row r="656" spans="48:54" ht="12.75">
      <c r="AV656" s="1"/>
      <c r="AX656" s="1"/>
      <c r="AY656" s="1"/>
      <c r="AZ656" s="76"/>
      <c r="BB656" s="41"/>
    </row>
    <row r="657" spans="48:54" ht="12.75">
      <c r="AV657" s="1"/>
      <c r="AX657" s="1"/>
      <c r="AY657" s="1"/>
      <c r="AZ657" s="76"/>
      <c r="BB657" s="41"/>
    </row>
    <row r="658" spans="48:54" ht="12.75">
      <c r="AV658" s="1"/>
      <c r="AX658" s="1"/>
      <c r="AY658" s="1"/>
      <c r="AZ658" s="76"/>
      <c r="BB658" s="41"/>
    </row>
    <row r="659" spans="48:54" ht="12.75">
      <c r="AV659" s="1"/>
      <c r="AX659" s="1"/>
      <c r="AY659" s="1"/>
      <c r="AZ659" s="76"/>
      <c r="BB659" s="41"/>
    </row>
    <row r="660" spans="48:54" ht="12.75">
      <c r="AV660" s="1"/>
      <c r="AX660" s="1"/>
      <c r="AY660" s="1"/>
      <c r="AZ660" s="76"/>
      <c r="BB660" s="41"/>
    </row>
    <row r="661" spans="48:54" ht="12.75">
      <c r="AV661" s="1"/>
      <c r="AX661" s="1"/>
      <c r="AY661" s="1"/>
      <c r="AZ661" s="76"/>
      <c r="BB661" s="41"/>
    </row>
    <row r="662" spans="48:54" ht="12.75">
      <c r="AV662" s="1"/>
      <c r="AX662" s="1"/>
      <c r="AY662" s="1"/>
      <c r="AZ662" s="76"/>
      <c r="BB662" s="41"/>
    </row>
    <row r="663" spans="48:54" ht="12.75">
      <c r="AV663" s="1"/>
      <c r="AX663" s="1"/>
      <c r="AY663" s="1"/>
      <c r="AZ663" s="76"/>
      <c r="BB663" s="41"/>
    </row>
    <row r="664" spans="48:54" ht="12.75">
      <c r="AV664" s="1"/>
      <c r="AX664" s="1"/>
      <c r="AY664" s="1"/>
      <c r="AZ664" s="76"/>
      <c r="BB664" s="41"/>
    </row>
    <row r="665" spans="48:54" ht="12.75">
      <c r="AV665" s="1"/>
      <c r="AX665" s="1"/>
      <c r="AY665" s="1"/>
      <c r="AZ665" s="76"/>
      <c r="BB665" s="41"/>
    </row>
    <row r="666" spans="48:54" ht="12.75">
      <c r="AV666" s="1"/>
      <c r="AX666" s="1"/>
      <c r="AY666" s="1"/>
      <c r="AZ666" s="76"/>
      <c r="BB666" s="41"/>
    </row>
    <row r="667" spans="48:54" ht="12.75">
      <c r="AV667" s="1"/>
      <c r="AX667" s="1"/>
      <c r="AY667" s="1"/>
      <c r="AZ667" s="76"/>
      <c r="BB667" s="41"/>
    </row>
    <row r="668" spans="48:54" ht="12.75">
      <c r="AV668" s="1"/>
      <c r="AX668" s="1"/>
      <c r="AY668" s="1"/>
      <c r="AZ668" s="76"/>
      <c r="BB668" s="41"/>
    </row>
    <row r="669" spans="48:54" ht="12.75">
      <c r="AV669" s="1"/>
      <c r="AX669" s="1"/>
      <c r="AY669" s="1"/>
      <c r="AZ669" s="76"/>
      <c r="BB669" s="41"/>
    </row>
    <row r="670" spans="48:54" ht="12.75">
      <c r="AV670" s="1"/>
      <c r="AX670" s="1"/>
      <c r="AY670" s="1"/>
      <c r="AZ670" s="76"/>
      <c r="BB670" s="41"/>
    </row>
    <row r="671" spans="48:54" ht="12.75">
      <c r="AV671" s="1"/>
      <c r="AX671" s="1"/>
      <c r="AY671" s="1"/>
      <c r="AZ671" s="76"/>
      <c r="BB671" s="41"/>
    </row>
    <row r="672" spans="48:54" ht="12.75">
      <c r="AV672" s="1"/>
      <c r="AX672" s="1"/>
      <c r="AY672" s="1"/>
      <c r="AZ672" s="76"/>
      <c r="BB672" s="41"/>
    </row>
    <row r="673" spans="48:54" ht="12.75">
      <c r="AV673" s="1"/>
      <c r="AX673" s="1"/>
      <c r="AY673" s="1"/>
      <c r="AZ673" s="76"/>
      <c r="BB673" s="41"/>
    </row>
    <row r="674" spans="48:54" ht="12.75">
      <c r="AV674" s="1"/>
      <c r="AX674" s="1"/>
      <c r="AY674" s="1"/>
      <c r="AZ674" s="76"/>
      <c r="BB674" s="41"/>
    </row>
    <row r="675" spans="48:54" ht="12.75">
      <c r="AV675" s="1"/>
      <c r="AX675" s="1"/>
      <c r="AY675" s="1"/>
      <c r="AZ675" s="76"/>
      <c r="BB675" s="41"/>
    </row>
    <row r="676" spans="48:54" ht="12.75">
      <c r="AV676" s="1"/>
      <c r="AX676" s="1"/>
      <c r="AY676" s="1"/>
      <c r="AZ676" s="76"/>
      <c r="BB676" s="41"/>
    </row>
    <row r="677" spans="48:54" ht="12.75">
      <c r="AV677" s="1"/>
      <c r="AX677" s="1"/>
      <c r="AY677" s="1"/>
      <c r="AZ677" s="76"/>
      <c r="BB677" s="41"/>
    </row>
    <row r="678" spans="48:54" ht="12.75">
      <c r="AV678" s="1"/>
      <c r="AX678" s="1"/>
      <c r="AY678" s="1"/>
      <c r="AZ678" s="76"/>
      <c r="BB678" s="41"/>
    </row>
    <row r="679" spans="48:54" ht="12.75">
      <c r="AV679" s="1"/>
      <c r="AX679" s="1"/>
      <c r="AY679" s="1"/>
      <c r="AZ679" s="76"/>
      <c r="BB679" s="41"/>
    </row>
    <row r="680" spans="48:54" ht="12.75">
      <c r="AV680" s="1"/>
      <c r="AX680" s="1"/>
      <c r="AY680" s="1"/>
      <c r="AZ680" s="76"/>
      <c r="BB680" s="41"/>
    </row>
    <row r="681" spans="48:54" ht="12.75">
      <c r="AV681" s="1"/>
      <c r="AX681" s="1"/>
      <c r="AY681" s="1"/>
      <c r="AZ681" s="76"/>
      <c r="BB681" s="41"/>
    </row>
    <row r="682" spans="48:54" ht="12.75">
      <c r="AV682" s="1"/>
      <c r="AX682" s="1"/>
      <c r="AY682" s="1"/>
      <c r="AZ682" s="76"/>
      <c r="BB682" s="41"/>
    </row>
    <row r="683" spans="48:54" ht="12.75">
      <c r="AV683" s="1"/>
      <c r="AX683" s="1"/>
      <c r="AY683" s="1"/>
      <c r="AZ683" s="76"/>
      <c r="BB683" s="41"/>
    </row>
    <row r="684" spans="48:54" ht="12.75">
      <c r="AV684" s="1"/>
      <c r="AX684" s="1"/>
      <c r="AY684" s="1"/>
      <c r="AZ684" s="76"/>
      <c r="BB684" s="41"/>
    </row>
    <row r="685" spans="48:54" ht="12.75">
      <c r="AV685" s="1"/>
      <c r="AX685" s="1"/>
      <c r="AY685" s="1"/>
      <c r="AZ685" s="76"/>
      <c r="BB685" s="41"/>
    </row>
    <row r="686" spans="48:54" ht="12.75">
      <c r="AV686" s="1"/>
      <c r="AX686" s="1"/>
      <c r="AY686" s="1"/>
      <c r="AZ686" s="76"/>
      <c r="BB686" s="41"/>
    </row>
    <row r="687" spans="48:54" ht="12.75">
      <c r="AV687" s="1"/>
      <c r="AX687" s="1"/>
      <c r="AY687" s="1"/>
      <c r="AZ687" s="76"/>
      <c r="BB687" s="41"/>
    </row>
    <row r="688" spans="48:54" ht="12.75">
      <c r="AV688" s="1"/>
      <c r="AX688" s="1"/>
      <c r="AY688" s="1"/>
      <c r="AZ688" s="76"/>
      <c r="BB688" s="41"/>
    </row>
    <row r="689" spans="48:54" ht="12.75">
      <c r="AV689" s="1"/>
      <c r="AX689" s="1"/>
      <c r="AY689" s="1"/>
      <c r="AZ689" s="76"/>
      <c r="BB689" s="41"/>
    </row>
    <row r="690" spans="48:54" ht="12.75">
      <c r="AV690" s="1"/>
      <c r="AX690" s="1"/>
      <c r="AY690" s="1"/>
      <c r="AZ690" s="76"/>
      <c r="BB690" s="41"/>
    </row>
    <row r="691" spans="48:54" ht="12.75">
      <c r="AV691" s="1"/>
      <c r="AX691" s="1"/>
      <c r="AY691" s="1"/>
      <c r="AZ691" s="76"/>
      <c r="BB691" s="41"/>
    </row>
    <row r="692" spans="48:54" ht="12.75">
      <c r="AV692" s="1"/>
      <c r="AX692" s="1"/>
      <c r="AY692" s="1"/>
      <c r="AZ692" s="76"/>
      <c r="BB692" s="41"/>
    </row>
    <row r="693" spans="48:54" ht="12.75">
      <c r="AV693" s="1"/>
      <c r="AX693" s="1"/>
      <c r="AY693" s="1"/>
      <c r="AZ693" s="76"/>
      <c r="BB693" s="41"/>
    </row>
    <row r="694" spans="48:54" ht="12.75">
      <c r="AV694" s="1"/>
      <c r="AX694" s="1"/>
      <c r="AY694" s="1"/>
      <c r="AZ694" s="76"/>
      <c r="BB694" s="41"/>
    </row>
    <row r="695" spans="48:54" ht="12.75">
      <c r="AV695" s="1"/>
      <c r="AX695" s="1"/>
      <c r="AY695" s="1"/>
      <c r="AZ695" s="76"/>
      <c r="BB695" s="41"/>
    </row>
    <row r="696" spans="48:54" ht="12.75">
      <c r="AV696" s="1"/>
      <c r="AX696" s="1"/>
      <c r="AY696" s="1"/>
      <c r="AZ696" s="76"/>
      <c r="BB696" s="41"/>
    </row>
    <row r="697" spans="48:54" ht="12.75">
      <c r="AV697" s="1"/>
      <c r="AX697" s="1"/>
      <c r="AY697" s="1"/>
      <c r="AZ697" s="76"/>
      <c r="BB697" s="41"/>
    </row>
    <row r="698" spans="48:54" ht="12.75">
      <c r="AV698" s="1"/>
      <c r="AX698" s="1"/>
      <c r="AY698" s="1"/>
      <c r="AZ698" s="76"/>
      <c r="BB698" s="41"/>
    </row>
    <row r="699" spans="48:54" ht="12.75">
      <c r="AV699" s="1"/>
      <c r="AX699" s="1"/>
      <c r="AY699" s="1"/>
      <c r="AZ699" s="76"/>
      <c r="BB699" s="41"/>
    </row>
    <row r="700" spans="48:54" ht="12.75">
      <c r="AV700" s="1"/>
      <c r="AX700" s="1"/>
      <c r="AY700" s="1"/>
      <c r="AZ700" s="76"/>
      <c r="BB700" s="41"/>
    </row>
    <row r="701" spans="48:54" ht="12.75">
      <c r="AV701" s="1"/>
      <c r="AX701" s="1"/>
      <c r="AY701" s="1"/>
      <c r="AZ701" s="76"/>
      <c r="BB701" s="41"/>
    </row>
    <row r="702" spans="48:54" ht="12.75">
      <c r="AV702" s="1"/>
      <c r="AX702" s="1"/>
      <c r="AY702" s="1"/>
      <c r="AZ702" s="76"/>
      <c r="BB702" s="41"/>
    </row>
    <row r="703" spans="48:54" ht="12.75">
      <c r="AV703" s="1"/>
      <c r="AX703" s="1"/>
      <c r="AY703" s="1"/>
      <c r="AZ703" s="76"/>
      <c r="BB703" s="41"/>
    </row>
    <row r="704" spans="48:54" ht="12.75">
      <c r="AV704" s="1"/>
      <c r="AX704" s="1"/>
      <c r="AY704" s="1"/>
      <c r="AZ704" s="76"/>
      <c r="BB704" s="41"/>
    </row>
    <row r="705" spans="48:54" ht="12.75">
      <c r="AV705" s="1"/>
      <c r="AX705" s="1"/>
      <c r="AY705" s="1"/>
      <c r="AZ705" s="76"/>
      <c r="BB705" s="41"/>
    </row>
    <row r="706" spans="48:54" ht="12.75">
      <c r="AV706" s="1"/>
      <c r="AX706" s="1"/>
      <c r="AY706" s="1"/>
      <c r="AZ706" s="76"/>
      <c r="BB706" s="41"/>
    </row>
    <row r="707" spans="48:54" ht="12.75">
      <c r="AV707" s="1"/>
      <c r="AX707" s="1"/>
      <c r="AY707" s="1"/>
      <c r="AZ707" s="76"/>
      <c r="BB707" s="41"/>
    </row>
    <row r="708" spans="48:54" ht="12.75">
      <c r="AV708" s="1"/>
      <c r="AX708" s="1"/>
      <c r="AY708" s="1"/>
      <c r="AZ708" s="76"/>
      <c r="BB708" s="41"/>
    </row>
    <row r="709" spans="48:54" ht="12.75">
      <c r="AV709" s="1"/>
      <c r="AX709" s="1"/>
      <c r="AY709" s="1"/>
      <c r="AZ709" s="76"/>
      <c r="BB709" s="41"/>
    </row>
    <row r="710" spans="48:54" ht="12.75">
      <c r="AV710" s="1"/>
      <c r="AX710" s="1"/>
      <c r="AY710" s="1"/>
      <c r="AZ710" s="76"/>
      <c r="BB710" s="41"/>
    </row>
    <row r="711" spans="48:54" ht="12.75">
      <c r="AV711" s="1"/>
      <c r="AX711" s="1"/>
      <c r="AY711" s="1"/>
      <c r="AZ711" s="76"/>
      <c r="BB711" s="41"/>
    </row>
    <row r="712" spans="48:54" ht="12.75">
      <c r="AV712" s="1"/>
      <c r="AX712" s="1"/>
      <c r="AY712" s="1"/>
      <c r="AZ712" s="76"/>
      <c r="BB712" s="41"/>
    </row>
    <row r="713" spans="48:54" ht="12.75">
      <c r="AV713" s="1"/>
      <c r="AX713" s="1"/>
      <c r="AY713" s="1"/>
      <c r="AZ713" s="76"/>
      <c r="BB713" s="41"/>
    </row>
    <row r="714" spans="48:54" ht="12.75">
      <c r="AV714" s="1"/>
      <c r="AX714" s="1"/>
      <c r="AY714" s="1"/>
      <c r="AZ714" s="76"/>
      <c r="BB714" s="41"/>
    </row>
    <row r="715" spans="48:54" ht="12.75">
      <c r="AV715" s="1"/>
      <c r="AX715" s="1"/>
      <c r="AY715" s="1"/>
      <c r="AZ715" s="76"/>
      <c r="BB715" s="41"/>
    </row>
    <row r="716" spans="48:54" ht="12.75">
      <c r="AV716" s="1"/>
      <c r="AX716" s="1"/>
      <c r="AY716" s="1"/>
      <c r="AZ716" s="76"/>
      <c r="BB716" s="41"/>
    </row>
    <row r="717" spans="48:54" ht="12.75">
      <c r="AV717" s="1"/>
      <c r="AX717" s="1"/>
      <c r="AY717" s="1"/>
      <c r="AZ717" s="76"/>
      <c r="BB717" s="41"/>
    </row>
    <row r="718" spans="48:54" ht="12.75">
      <c r="AV718" s="1"/>
      <c r="AX718" s="1"/>
      <c r="AY718" s="1"/>
      <c r="AZ718" s="76"/>
      <c r="BB718" s="41"/>
    </row>
    <row r="719" spans="48:54" ht="12.75">
      <c r="AV719" s="1"/>
      <c r="AX719" s="1"/>
      <c r="AY719" s="1"/>
      <c r="AZ719" s="76"/>
      <c r="BB719" s="41"/>
    </row>
    <row r="720" spans="48:54" ht="12.75">
      <c r="AV720" s="1"/>
      <c r="AX720" s="1"/>
      <c r="AY720" s="1"/>
      <c r="AZ720" s="76"/>
      <c r="BB720" s="41"/>
    </row>
    <row r="721" spans="48:54" ht="12.75">
      <c r="AV721" s="1"/>
      <c r="AX721" s="1"/>
      <c r="AY721" s="1"/>
      <c r="AZ721" s="76"/>
      <c r="BB721" s="41"/>
    </row>
    <row r="722" spans="48:54" ht="12.75">
      <c r="AV722" s="1"/>
      <c r="AX722" s="1"/>
      <c r="AY722" s="1"/>
      <c r="AZ722" s="76"/>
      <c r="BB722" s="41"/>
    </row>
    <row r="723" spans="48:54" ht="12.75">
      <c r="AV723" s="1"/>
      <c r="AX723" s="1"/>
      <c r="AY723" s="1"/>
      <c r="AZ723" s="76"/>
      <c r="BB723" s="41"/>
    </row>
    <row r="724" spans="48:54" ht="12.75">
      <c r="AV724" s="1"/>
      <c r="AX724" s="1"/>
      <c r="AY724" s="1"/>
      <c r="AZ724" s="76"/>
      <c r="BB724" s="41"/>
    </row>
    <row r="725" spans="48:54" ht="12.75">
      <c r="AV725" s="1"/>
      <c r="AX725" s="1"/>
      <c r="AY725" s="1"/>
      <c r="AZ725" s="76"/>
      <c r="BB725" s="41"/>
    </row>
    <row r="726" spans="48:54" ht="12.75">
      <c r="AV726" s="1"/>
      <c r="AX726" s="1"/>
      <c r="AY726" s="1"/>
      <c r="AZ726" s="76"/>
      <c r="BB726" s="41"/>
    </row>
    <row r="727" spans="48:54" ht="12.75">
      <c r="AV727" s="1"/>
      <c r="AX727" s="1"/>
      <c r="AY727" s="1"/>
      <c r="AZ727" s="76"/>
      <c r="BB727" s="41"/>
    </row>
    <row r="728" spans="48:54" ht="12.75">
      <c r="AV728" s="1"/>
      <c r="AX728" s="1"/>
      <c r="AY728" s="1"/>
      <c r="AZ728" s="76"/>
      <c r="BB728" s="41"/>
    </row>
    <row r="729" spans="48:54" ht="12.75">
      <c r="AV729" s="1"/>
      <c r="AX729" s="1"/>
      <c r="AY729" s="1"/>
      <c r="AZ729" s="76"/>
      <c r="BB729" s="41"/>
    </row>
    <row r="730" spans="48:54" ht="12.75">
      <c r="AV730" s="1"/>
      <c r="AX730" s="1"/>
      <c r="AY730" s="1"/>
      <c r="AZ730" s="76"/>
      <c r="BB730" s="41"/>
    </row>
    <row r="731" spans="48:54" ht="12.75">
      <c r="AV731" s="1"/>
      <c r="AX731" s="1"/>
      <c r="AY731" s="1"/>
      <c r="AZ731" s="76"/>
      <c r="BB731" s="41"/>
    </row>
    <row r="732" spans="48:54" ht="12.75">
      <c r="AV732" s="1"/>
      <c r="AX732" s="1"/>
      <c r="AY732" s="1"/>
      <c r="AZ732" s="76"/>
      <c r="BB732" s="41"/>
    </row>
    <row r="733" spans="48:54" ht="12.75">
      <c r="AV733" s="1"/>
      <c r="AX733" s="1"/>
      <c r="AY733" s="1"/>
      <c r="AZ733" s="76"/>
      <c r="BB733" s="41"/>
    </row>
    <row r="734" spans="48:54" ht="12.75">
      <c r="AV734" s="1"/>
      <c r="AX734" s="1"/>
      <c r="AY734" s="1"/>
      <c r="AZ734" s="76"/>
      <c r="BB734" s="41"/>
    </row>
    <row r="735" spans="48:54" ht="12.75">
      <c r="AV735" s="1"/>
      <c r="AX735" s="1"/>
      <c r="AY735" s="1"/>
      <c r="AZ735" s="76"/>
      <c r="BB735" s="41"/>
    </row>
    <row r="736" spans="48:54" ht="12.75">
      <c r="AV736" s="1"/>
      <c r="AX736" s="1"/>
      <c r="AY736" s="1"/>
      <c r="AZ736" s="76"/>
      <c r="BB736" s="41"/>
    </row>
    <row r="737" spans="48:54" ht="12.75">
      <c r="AV737" s="1"/>
      <c r="AX737" s="1"/>
      <c r="AY737" s="1"/>
      <c r="AZ737" s="76"/>
      <c r="BB737" s="41"/>
    </row>
    <row r="738" spans="48:54" ht="12.75">
      <c r="AV738" s="1"/>
      <c r="AX738" s="1"/>
      <c r="AY738" s="1"/>
      <c r="AZ738" s="76"/>
      <c r="BB738" s="41"/>
    </row>
    <row r="739" spans="48:54" ht="12.75">
      <c r="AV739" s="1"/>
      <c r="AX739" s="1"/>
      <c r="AY739" s="1"/>
      <c r="AZ739" s="76"/>
      <c r="BB739" s="41"/>
    </row>
    <row r="740" spans="48:54" ht="12.75">
      <c r="AV740" s="1"/>
      <c r="AX740" s="1"/>
      <c r="AY740" s="1"/>
      <c r="AZ740" s="76"/>
      <c r="BB740" s="41"/>
    </row>
    <row r="741" spans="48:54" ht="12.75">
      <c r="AV741" s="1"/>
      <c r="AX741" s="1"/>
      <c r="AY741" s="1"/>
      <c r="AZ741" s="76"/>
      <c r="BB741" s="41"/>
    </row>
    <row r="742" spans="48:54" ht="12.75">
      <c r="AV742" s="1"/>
      <c r="AX742" s="1"/>
      <c r="AY742" s="1"/>
      <c r="AZ742" s="76"/>
      <c r="BB742" s="41"/>
    </row>
    <row r="743" spans="48:54" ht="12.75">
      <c r="AV743" s="1"/>
      <c r="AX743" s="1"/>
      <c r="AY743" s="1"/>
      <c r="AZ743" s="76"/>
      <c r="BB743" s="41"/>
    </row>
    <row r="744" spans="48:54" ht="12.75">
      <c r="AV744" s="1"/>
      <c r="AX744" s="1"/>
      <c r="AY744" s="1"/>
      <c r="AZ744" s="76"/>
      <c r="BB744" s="41"/>
    </row>
    <row r="745" spans="48:54" ht="12.75">
      <c r="AV745" s="1"/>
      <c r="AX745" s="1"/>
      <c r="AY745" s="1"/>
      <c r="AZ745" s="76"/>
      <c r="BB745" s="41"/>
    </row>
    <row r="746" spans="48:54" ht="12.75">
      <c r="AV746" s="1"/>
      <c r="AX746" s="1"/>
      <c r="AY746" s="1"/>
      <c r="AZ746" s="76"/>
      <c r="BB746" s="41"/>
    </row>
    <row r="747" spans="48:54" ht="12.75">
      <c r="AV747" s="1"/>
      <c r="AX747" s="1"/>
      <c r="AY747" s="1"/>
      <c r="AZ747" s="76"/>
      <c r="BB747" s="41"/>
    </row>
    <row r="748" spans="48:54" ht="12.75">
      <c r="AV748" s="1"/>
      <c r="AX748" s="1"/>
      <c r="AY748" s="1"/>
      <c r="AZ748" s="76"/>
      <c r="BB748" s="41"/>
    </row>
    <row r="749" spans="48:54" ht="12.75">
      <c r="AV749" s="1"/>
      <c r="AX749" s="1"/>
      <c r="AY749" s="1"/>
      <c r="BB749" s="41"/>
    </row>
    <row r="750" spans="48:54" ht="12.75">
      <c r="AV750" s="1"/>
      <c r="AX750" s="1"/>
      <c r="AY750" s="1"/>
      <c r="BB750" s="41"/>
    </row>
    <row r="751" spans="48:54" ht="12.75">
      <c r="AV751" s="1"/>
      <c r="AX751" s="1"/>
      <c r="AY751" s="1"/>
      <c r="BB751" s="41"/>
    </row>
    <row r="752" spans="48:54" ht="12.75">
      <c r="AV752" s="1"/>
      <c r="AX752" s="1"/>
      <c r="AY752" s="1"/>
      <c r="BB752" s="41"/>
    </row>
    <row r="753" spans="48:54" ht="12.75">
      <c r="AV753" s="1"/>
      <c r="AX753" s="1"/>
      <c r="AY753" s="1"/>
      <c r="BB753" s="41"/>
    </row>
    <row r="754" spans="48:54" ht="12.75">
      <c r="AV754" s="1"/>
      <c r="AX754" s="1"/>
      <c r="AY754" s="1"/>
      <c r="BB754" s="41"/>
    </row>
    <row r="755" spans="48:54" ht="12.75">
      <c r="AV755" s="1"/>
      <c r="AX755" s="1"/>
      <c r="AY755" s="1"/>
      <c r="BB755" s="41"/>
    </row>
    <row r="756" spans="48:54" ht="12.75">
      <c r="AV756" s="1"/>
      <c r="AX756" s="1"/>
      <c r="AY756" s="1"/>
      <c r="BB756" s="41"/>
    </row>
    <row r="757" spans="48:54" ht="12.75">
      <c r="AV757" s="1"/>
      <c r="AX757" s="1"/>
      <c r="AY757" s="1"/>
      <c r="BB757" s="41"/>
    </row>
    <row r="758" spans="48:54" ht="12.75">
      <c r="AV758" s="1"/>
      <c r="AX758" s="1"/>
      <c r="AY758" s="1"/>
      <c r="BB758" s="41"/>
    </row>
    <row r="759" spans="48:54" ht="12.75">
      <c r="AV759" s="1"/>
      <c r="AX759" s="1"/>
      <c r="AY759" s="1"/>
      <c r="BB759" s="41"/>
    </row>
    <row r="760" spans="48:54" ht="12.75">
      <c r="AV760" s="1"/>
      <c r="AX760" s="1"/>
      <c r="AY760" s="1"/>
      <c r="BB760" s="41"/>
    </row>
    <row r="761" spans="48:54" ht="12.75">
      <c r="AV761" s="1"/>
      <c r="AX761" s="1"/>
      <c r="AY761" s="1"/>
      <c r="BB761" s="41"/>
    </row>
    <row r="762" spans="48:54" ht="12.75">
      <c r="AV762" s="1"/>
      <c r="AX762" s="1"/>
      <c r="AY762" s="1"/>
      <c r="BB762" s="41"/>
    </row>
    <row r="763" spans="48:54" ht="12.75">
      <c r="AV763" s="1"/>
      <c r="AX763" s="1"/>
      <c r="AY763" s="1"/>
      <c r="BB763" s="41"/>
    </row>
    <row r="764" spans="48:54" ht="12.75">
      <c r="AV764" s="1"/>
      <c r="AX764" s="1"/>
      <c r="AY764" s="1"/>
      <c r="BB764" s="41"/>
    </row>
    <row r="765" spans="48:54" ht="12.75">
      <c r="AV765" s="1"/>
      <c r="AX765" s="1"/>
      <c r="AY765" s="1"/>
      <c r="BB765" s="41"/>
    </row>
    <row r="766" spans="48:54" ht="12.75">
      <c r="AV766" s="1"/>
      <c r="AX766" s="1"/>
      <c r="AY766" s="1"/>
      <c r="BB766" s="41"/>
    </row>
    <row r="767" spans="48:54" ht="12.75">
      <c r="AV767" s="1"/>
      <c r="AX767" s="1"/>
      <c r="AY767" s="1"/>
      <c r="BB767" s="41"/>
    </row>
    <row r="768" spans="48:54" ht="12.75">
      <c r="AV768" s="1"/>
      <c r="AX768" s="1"/>
      <c r="AY768" s="1"/>
      <c r="BB768" s="41"/>
    </row>
    <row r="769" spans="48:54" ht="12.75">
      <c r="AV769" s="1"/>
      <c r="AX769" s="1"/>
      <c r="AY769" s="1"/>
      <c r="BB769" s="41"/>
    </row>
    <row r="770" spans="48:54" ht="12.75">
      <c r="AV770" s="1"/>
      <c r="AX770" s="1"/>
      <c r="AY770" s="1"/>
      <c r="BB770" s="41"/>
    </row>
    <row r="771" spans="48:54" ht="12.75">
      <c r="AV771" s="1"/>
      <c r="AX771" s="1"/>
      <c r="AY771" s="1"/>
      <c r="BB771" s="41"/>
    </row>
    <row r="772" spans="48:54" ht="12.75">
      <c r="AV772" s="1"/>
      <c r="AX772" s="1"/>
      <c r="AY772" s="1"/>
      <c r="BB772" s="41"/>
    </row>
    <row r="773" spans="48:54" ht="12.75">
      <c r="AV773" s="1"/>
      <c r="AX773" s="1"/>
      <c r="AY773" s="1"/>
      <c r="BB773" s="41"/>
    </row>
    <row r="774" spans="48:54" ht="12.75">
      <c r="AV774" s="1"/>
      <c r="AX774" s="1"/>
      <c r="AY774" s="1"/>
      <c r="BB774" s="41"/>
    </row>
    <row r="775" spans="48:54" ht="12.75">
      <c r="AV775" s="1"/>
      <c r="AX775" s="1"/>
      <c r="AY775" s="1"/>
      <c r="BB775" s="41"/>
    </row>
    <row r="776" spans="48:54" ht="12.75">
      <c r="AV776" s="1"/>
      <c r="AX776" s="1"/>
      <c r="AY776" s="1"/>
      <c r="BB776" s="41"/>
    </row>
    <row r="777" spans="48:54" ht="12.75">
      <c r="AV777" s="1"/>
      <c r="AX777" s="1"/>
      <c r="AY777" s="1"/>
      <c r="BB777" s="41"/>
    </row>
    <row r="778" spans="48:54" ht="12.75">
      <c r="AV778" s="1"/>
      <c r="AX778" s="1"/>
      <c r="AY778" s="1"/>
      <c r="BB778" s="41"/>
    </row>
    <row r="779" spans="48:54" ht="12.75">
      <c r="AV779" s="1"/>
      <c r="AX779" s="1"/>
      <c r="AY779" s="1"/>
      <c r="BB779" s="41"/>
    </row>
    <row r="780" spans="48:54" ht="12.75">
      <c r="AV780" s="1"/>
      <c r="AX780" s="1"/>
      <c r="AY780" s="1"/>
      <c r="BB780" s="41"/>
    </row>
    <row r="781" spans="48:54" ht="12.75">
      <c r="AV781" s="1"/>
      <c r="AX781" s="1"/>
      <c r="AY781" s="1"/>
      <c r="BB781" s="41"/>
    </row>
    <row r="782" spans="48:54" ht="12.75">
      <c r="AV782" s="1"/>
      <c r="AX782" s="1"/>
      <c r="AY782" s="1"/>
      <c r="BB782" s="41"/>
    </row>
    <row r="783" spans="48:54" ht="12.75">
      <c r="AV783" s="1"/>
      <c r="AX783" s="1"/>
      <c r="AY783" s="1"/>
      <c r="BB783" s="41"/>
    </row>
    <row r="784" spans="48:54" ht="12.75">
      <c r="AV784" s="1"/>
      <c r="AX784" s="1"/>
      <c r="AY784" s="1"/>
      <c r="BB784" s="41"/>
    </row>
    <row r="785" spans="48:54" ht="12.75">
      <c r="AV785" s="1"/>
      <c r="AX785" s="1"/>
      <c r="AY785" s="1"/>
      <c r="BB785" s="41"/>
    </row>
    <row r="786" spans="48:54" ht="12.75">
      <c r="AV786" s="1"/>
      <c r="AX786" s="1"/>
      <c r="AY786" s="1"/>
      <c r="BB786" s="41"/>
    </row>
    <row r="787" spans="48:54" ht="12.75">
      <c r="AV787" s="1"/>
      <c r="AX787" s="1"/>
      <c r="AY787" s="1"/>
      <c r="BB787" s="41"/>
    </row>
    <row r="788" spans="48:54" ht="12.75">
      <c r="AV788" s="1"/>
      <c r="AX788" s="1"/>
      <c r="AY788" s="1"/>
      <c r="BB788" s="41"/>
    </row>
    <row r="789" spans="48:54" ht="12.75">
      <c r="AV789" s="1"/>
      <c r="AX789" s="1"/>
      <c r="AY789" s="1"/>
      <c r="BB789" s="41"/>
    </row>
    <row r="790" spans="48:54" ht="12.75">
      <c r="AV790" s="1"/>
      <c r="AX790" s="1"/>
      <c r="AY790" s="1"/>
      <c r="BB790" s="41"/>
    </row>
    <row r="791" spans="48:54" ht="12.75">
      <c r="AV791" s="1"/>
      <c r="AX791" s="1"/>
      <c r="AY791" s="1"/>
      <c r="BB791" s="41"/>
    </row>
    <row r="792" spans="48:54" ht="12.75">
      <c r="AV792" s="1"/>
      <c r="AX792" s="1"/>
      <c r="AY792" s="1"/>
      <c r="BB792" s="41"/>
    </row>
    <row r="793" spans="48:54" ht="12.75">
      <c r="AV793" s="1"/>
      <c r="AX793" s="1"/>
      <c r="AY793" s="1"/>
      <c r="BB793" s="41"/>
    </row>
    <row r="794" spans="48:54" ht="12.75">
      <c r="AV794" s="1"/>
      <c r="AX794" s="1"/>
      <c r="AY794" s="1"/>
      <c r="BB794" s="41"/>
    </row>
    <row r="795" spans="48:54" ht="12.75">
      <c r="AV795" s="1"/>
      <c r="AX795" s="1"/>
      <c r="AY795" s="1"/>
      <c r="BB795" s="41"/>
    </row>
    <row r="796" spans="48:54" ht="12.75">
      <c r="AV796" s="1"/>
      <c r="AX796" s="1"/>
      <c r="AY796" s="1"/>
      <c r="BB796" s="41"/>
    </row>
    <row r="797" spans="48:54" ht="12.75">
      <c r="AV797" s="1"/>
      <c r="AX797" s="1"/>
      <c r="AY797" s="1"/>
      <c r="BB797" s="41"/>
    </row>
    <row r="798" spans="48:54" ht="12.75">
      <c r="AV798" s="1"/>
      <c r="AX798" s="1"/>
      <c r="AY798" s="1"/>
      <c r="BB798" s="41"/>
    </row>
    <row r="799" spans="48:54" ht="12.75">
      <c r="AV799" s="1"/>
      <c r="AX799" s="1"/>
      <c r="AY799" s="1"/>
      <c r="BB799" s="41"/>
    </row>
    <row r="800" spans="48:54" ht="12.75">
      <c r="AV800" s="1"/>
      <c r="AX800" s="1"/>
      <c r="AY800" s="1"/>
      <c r="BB800" s="41"/>
    </row>
    <row r="801" spans="48:54" ht="12.75">
      <c r="AV801" s="1"/>
      <c r="AX801" s="1"/>
      <c r="AY801" s="1"/>
      <c r="BB801" s="41"/>
    </row>
    <row r="802" spans="48:54" ht="12.75">
      <c r="AV802" s="1"/>
      <c r="AX802" s="1"/>
      <c r="AY802" s="1"/>
      <c r="BB802" s="41"/>
    </row>
    <row r="803" spans="48:54" ht="12.75">
      <c r="AV803" s="1"/>
      <c r="AX803" s="1"/>
      <c r="AY803" s="1"/>
      <c r="BB803" s="41"/>
    </row>
    <row r="804" spans="48:54" ht="12.75">
      <c r="AV804" s="1"/>
      <c r="AX804" s="1"/>
      <c r="AY804" s="1"/>
      <c r="BB804" s="41"/>
    </row>
    <row r="805" spans="48:54" ht="12.75">
      <c r="AV805" s="1"/>
      <c r="AX805" s="1"/>
      <c r="AY805" s="1"/>
      <c r="BB805" s="41"/>
    </row>
    <row r="806" spans="48:54" ht="12.75">
      <c r="AV806" s="1"/>
      <c r="AX806" s="1"/>
      <c r="AY806" s="1"/>
      <c r="BB806" s="41"/>
    </row>
    <row r="807" spans="48:54" ht="12.75">
      <c r="AV807" s="1"/>
      <c r="AX807" s="1"/>
      <c r="AY807" s="1"/>
      <c r="BB807" s="41"/>
    </row>
    <row r="808" spans="48:54" ht="12.75">
      <c r="AV808" s="1"/>
      <c r="AX808" s="1"/>
      <c r="AY808" s="1"/>
      <c r="BB808" s="41"/>
    </row>
    <row r="809" spans="48:54" ht="12.75">
      <c r="AV809" s="1"/>
      <c r="AX809" s="1"/>
      <c r="AY809" s="1"/>
      <c r="BB809" s="41"/>
    </row>
    <row r="810" spans="48:54" ht="12.75">
      <c r="AV810" s="1"/>
      <c r="AX810" s="1"/>
      <c r="AY810" s="1"/>
      <c r="BB810" s="41"/>
    </row>
    <row r="811" spans="48:54" ht="12.75">
      <c r="AV811" s="1"/>
      <c r="AX811" s="1"/>
      <c r="AY811" s="1"/>
      <c r="BB811" s="41"/>
    </row>
    <row r="812" spans="48:54" ht="12.75">
      <c r="AV812" s="1"/>
      <c r="AX812" s="1"/>
      <c r="AY812" s="1"/>
      <c r="BB812" s="41"/>
    </row>
    <row r="813" spans="48:54" ht="12.75">
      <c r="AV813" s="1"/>
      <c r="AX813" s="1"/>
      <c r="AY813" s="1"/>
      <c r="BB813" s="41"/>
    </row>
    <row r="814" spans="48:54" ht="12.75">
      <c r="AV814" s="1"/>
      <c r="AX814" s="1"/>
      <c r="AY814" s="1"/>
      <c r="BB814" s="41"/>
    </row>
    <row r="815" spans="48:54" ht="12.75">
      <c r="AV815" s="1"/>
      <c r="AX815" s="1"/>
      <c r="AY815" s="1"/>
      <c r="BB815" s="41"/>
    </row>
    <row r="816" spans="48:54" ht="12.75">
      <c r="AV816" s="1"/>
      <c r="AX816" s="1"/>
      <c r="AY816" s="1"/>
      <c r="BB816" s="41"/>
    </row>
    <row r="817" spans="48:54" ht="12.75">
      <c r="AV817" s="1"/>
      <c r="AX817" s="1"/>
      <c r="AY817" s="1"/>
      <c r="BB817" s="41"/>
    </row>
    <row r="818" spans="48:54" ht="12.75">
      <c r="AV818" s="1"/>
      <c r="AX818" s="1"/>
      <c r="AY818" s="1"/>
      <c r="BB818" s="41"/>
    </row>
    <row r="819" spans="48:54" ht="12.75">
      <c r="AV819" s="1"/>
      <c r="AX819" s="1"/>
      <c r="AY819" s="1"/>
      <c r="BB819" s="41"/>
    </row>
    <row r="820" spans="48:54" ht="12.75">
      <c r="AV820" s="1"/>
      <c r="AX820" s="1"/>
      <c r="AY820" s="1"/>
      <c r="BB820" s="41"/>
    </row>
    <row r="821" spans="48:54" ht="12.75">
      <c r="AV821" s="1"/>
      <c r="AX821" s="1"/>
      <c r="AY821" s="1"/>
      <c r="BB821" s="41"/>
    </row>
    <row r="822" spans="48:54" ht="12.75">
      <c r="AV822" s="1"/>
      <c r="AX822" s="1"/>
      <c r="AY822" s="1"/>
      <c r="BB822" s="41"/>
    </row>
    <row r="823" spans="48:54" ht="12.75">
      <c r="AV823" s="1"/>
      <c r="AX823" s="1"/>
      <c r="AY823" s="1"/>
      <c r="BB823" s="41"/>
    </row>
    <row r="824" spans="48:54" ht="12.75">
      <c r="AV824" s="1"/>
      <c r="AX824" s="1"/>
      <c r="AY824" s="1"/>
      <c r="BB824" s="41"/>
    </row>
    <row r="825" spans="48:54" ht="12.75">
      <c r="AV825" s="1"/>
      <c r="AX825" s="1"/>
      <c r="AY825" s="1"/>
      <c r="BB825" s="41"/>
    </row>
    <row r="826" spans="48:54" ht="12.75">
      <c r="AV826" s="1"/>
      <c r="AX826" s="1"/>
      <c r="AY826" s="1"/>
      <c r="BB826" s="41"/>
    </row>
    <row r="827" spans="48:54" ht="12.75">
      <c r="AV827" s="1"/>
      <c r="AX827" s="1"/>
      <c r="AY827" s="1"/>
      <c r="BB827" s="41"/>
    </row>
    <row r="828" spans="48:54" ht="12.75">
      <c r="AV828" s="1"/>
      <c r="AX828" s="1"/>
      <c r="AY828" s="1"/>
      <c r="BB828" s="41"/>
    </row>
    <row r="829" spans="48:54" ht="12.75">
      <c r="AV829" s="1"/>
      <c r="AX829" s="1"/>
      <c r="AY829" s="1"/>
      <c r="BB829" s="41"/>
    </row>
    <row r="830" spans="48:54" ht="12.75">
      <c r="AV830" s="1"/>
      <c r="AX830" s="1"/>
      <c r="AY830" s="1"/>
      <c r="BB830" s="41"/>
    </row>
    <row r="831" spans="48:54" ht="12.75">
      <c r="AV831" s="1"/>
      <c r="AX831" s="1"/>
      <c r="AY831" s="1"/>
      <c r="BB831" s="41"/>
    </row>
    <row r="832" spans="48:54" ht="12.75">
      <c r="AV832" s="1"/>
      <c r="AX832" s="1"/>
      <c r="AY832" s="1"/>
      <c r="BB832" s="41"/>
    </row>
    <row r="833" spans="48:54" ht="12.75">
      <c r="AV833" s="1"/>
      <c r="AX833" s="1"/>
      <c r="AY833" s="1"/>
      <c r="BB833" s="41"/>
    </row>
    <row r="834" spans="48:54" ht="12.75">
      <c r="AV834" s="1"/>
      <c r="AX834" s="1"/>
      <c r="AY834" s="1"/>
      <c r="BB834" s="41"/>
    </row>
    <row r="835" spans="48:54" ht="12.75">
      <c r="AV835" s="1"/>
      <c r="AX835" s="1"/>
      <c r="AY835" s="1"/>
      <c r="BB835" s="41"/>
    </row>
    <row r="836" spans="48:54" ht="12.75">
      <c r="AV836" s="1"/>
      <c r="AX836" s="1"/>
      <c r="AY836" s="1"/>
      <c r="BB836" s="41"/>
    </row>
    <row r="837" spans="48:54" ht="12.75">
      <c r="AV837" s="1"/>
      <c r="AX837" s="1"/>
      <c r="AY837" s="1"/>
      <c r="BB837" s="41"/>
    </row>
    <row r="838" spans="48:54" ht="12.75">
      <c r="AV838" s="1"/>
      <c r="AX838" s="1"/>
      <c r="AY838" s="1"/>
      <c r="BB838" s="41"/>
    </row>
    <row r="839" spans="48:54" ht="12.75">
      <c r="AV839" s="1"/>
      <c r="AX839" s="1"/>
      <c r="AY839" s="1"/>
      <c r="BB839" s="41"/>
    </row>
    <row r="840" spans="48:54" ht="12.75">
      <c r="AV840" s="1"/>
      <c r="AX840" s="1"/>
      <c r="AY840" s="1"/>
      <c r="BB840" s="41"/>
    </row>
    <row r="841" spans="48:54" ht="12.75">
      <c r="AV841" s="1"/>
      <c r="AX841" s="1"/>
      <c r="AY841" s="1"/>
      <c r="BB841" s="41"/>
    </row>
    <row r="842" spans="48:54" ht="12.75">
      <c r="AV842" s="1"/>
      <c r="AX842" s="1"/>
      <c r="AY842" s="1"/>
      <c r="BB842" s="41"/>
    </row>
    <row r="843" spans="48:54" ht="12.75">
      <c r="AV843" s="1"/>
      <c r="AX843" s="1"/>
      <c r="AY843" s="1"/>
      <c r="BB843" s="41"/>
    </row>
    <row r="844" spans="48:54" ht="12.75">
      <c r="AV844" s="1"/>
      <c r="AX844" s="1"/>
      <c r="AY844" s="1"/>
      <c r="BB844" s="41"/>
    </row>
    <row r="845" spans="48:54" ht="12.75">
      <c r="AV845" s="1"/>
      <c r="AX845" s="1"/>
      <c r="AY845" s="1"/>
      <c r="BB845" s="41"/>
    </row>
    <row r="846" spans="48:54" ht="12.75">
      <c r="AV846" s="1"/>
      <c r="AX846" s="1"/>
      <c r="AY846" s="1"/>
      <c r="BB846" s="41"/>
    </row>
    <row r="847" spans="48:54" ht="12.75">
      <c r="AV847" s="1"/>
      <c r="AX847" s="1"/>
      <c r="AY847" s="1"/>
      <c r="BB847" s="41"/>
    </row>
    <row r="848" spans="48:54" ht="12.75">
      <c r="AV848" s="1"/>
      <c r="AX848" s="1"/>
      <c r="AY848" s="1"/>
      <c r="BB848" s="41"/>
    </row>
    <row r="849" spans="48:54" ht="12.75">
      <c r="AV849" s="1"/>
      <c r="AX849" s="1"/>
      <c r="AY849" s="1"/>
      <c r="BB849" s="41"/>
    </row>
    <row r="850" spans="48:54" ht="12.75">
      <c r="AV850" s="1"/>
      <c r="AX850" s="1"/>
      <c r="AY850" s="1"/>
      <c r="BB850" s="41"/>
    </row>
    <row r="851" spans="48:54" ht="12.75">
      <c r="AV851" s="1"/>
      <c r="AX851" s="1"/>
      <c r="AY851" s="1"/>
      <c r="BB851" s="41"/>
    </row>
    <row r="852" spans="48:54" ht="12.75">
      <c r="AV852" s="1"/>
      <c r="AX852" s="1"/>
      <c r="AY852" s="1"/>
      <c r="BB852" s="41"/>
    </row>
    <row r="853" spans="48:54" ht="12.75">
      <c r="AV853" s="1"/>
      <c r="AX853" s="1"/>
      <c r="AY853" s="1"/>
      <c r="BB853" s="41"/>
    </row>
    <row r="854" spans="48:54" ht="12.75">
      <c r="AV854" s="1"/>
      <c r="AX854" s="1"/>
      <c r="AY854" s="1"/>
      <c r="BB854" s="41"/>
    </row>
    <row r="855" spans="48:54" ht="12.75">
      <c r="AV855" s="1"/>
      <c r="AX855" s="1"/>
      <c r="AY855" s="1"/>
      <c r="BB855" s="41"/>
    </row>
    <row r="856" spans="48:54" ht="12.75">
      <c r="AV856" s="1"/>
      <c r="AX856" s="1"/>
      <c r="AY856" s="1"/>
      <c r="BB856" s="41"/>
    </row>
    <row r="857" spans="48:54" ht="12.75">
      <c r="AV857" s="1"/>
      <c r="AX857" s="1"/>
      <c r="AY857" s="1"/>
      <c r="BB857" s="41"/>
    </row>
    <row r="858" spans="48:54" ht="12.75">
      <c r="AV858" s="1"/>
      <c r="AX858" s="1"/>
      <c r="AY858" s="1"/>
      <c r="BB858" s="41"/>
    </row>
    <row r="859" spans="48:54" ht="12.75">
      <c r="AV859" s="1"/>
      <c r="AX859" s="1"/>
      <c r="AY859" s="1"/>
      <c r="BB859" s="41"/>
    </row>
    <row r="860" spans="48:54" ht="12.75">
      <c r="AV860" s="1"/>
      <c r="AX860" s="1"/>
      <c r="AY860" s="1"/>
      <c r="BB860" s="41"/>
    </row>
    <row r="861" spans="48:54" ht="12.75">
      <c r="AV861" s="1"/>
      <c r="AX861" s="1"/>
      <c r="AY861" s="1"/>
      <c r="BB861" s="41"/>
    </row>
    <row r="862" spans="48:54" ht="12.75">
      <c r="AV862" s="1"/>
      <c r="AX862" s="1"/>
      <c r="AY862" s="1"/>
      <c r="BB862" s="41"/>
    </row>
    <row r="863" spans="48:54" ht="12.75">
      <c r="AV863" s="1"/>
      <c r="AX863" s="1"/>
      <c r="AY863" s="1"/>
      <c r="BB863" s="41"/>
    </row>
    <row r="864" spans="48:54" ht="12.75">
      <c r="AV864" s="1"/>
      <c r="AX864" s="1"/>
      <c r="AY864" s="1"/>
      <c r="BB864" s="41"/>
    </row>
    <row r="865" spans="48:54" ht="12.75">
      <c r="AV865" s="1"/>
      <c r="AX865" s="1"/>
      <c r="AY865" s="1"/>
      <c r="BB865" s="41"/>
    </row>
    <row r="866" spans="48:54" ht="12.75">
      <c r="AV866" s="1"/>
      <c r="AX866" s="1"/>
      <c r="AY866" s="1"/>
      <c r="BB866" s="41"/>
    </row>
    <row r="867" spans="48:54" ht="12.75">
      <c r="AV867" s="1"/>
      <c r="AX867" s="1"/>
      <c r="AY867" s="1"/>
      <c r="BB867" s="41"/>
    </row>
    <row r="868" spans="48:54" ht="12.75">
      <c r="AV868" s="1"/>
      <c r="AX868" s="1"/>
      <c r="AY868" s="1"/>
      <c r="BB868" s="41"/>
    </row>
    <row r="869" spans="48:54" ht="12.75">
      <c r="AV869" s="1"/>
      <c r="AX869" s="1"/>
      <c r="AY869" s="1"/>
      <c r="BB869" s="41"/>
    </row>
    <row r="870" spans="48:54" ht="12.75">
      <c r="AV870" s="1"/>
      <c r="AX870" s="1"/>
      <c r="AY870" s="1"/>
      <c r="BB870" s="41"/>
    </row>
    <row r="871" spans="48:54" ht="12.75">
      <c r="AV871" s="1"/>
      <c r="AX871" s="1"/>
      <c r="AY871" s="1"/>
      <c r="BB871" s="41"/>
    </row>
    <row r="872" spans="48:54" ht="12.75">
      <c r="AV872" s="1"/>
      <c r="AX872" s="1"/>
      <c r="AY872" s="1"/>
      <c r="BB872" s="41"/>
    </row>
    <row r="873" spans="48:54" ht="12.75">
      <c r="AV873" s="1"/>
      <c r="AX873" s="1"/>
      <c r="AY873" s="1"/>
      <c r="BB873" s="41"/>
    </row>
    <row r="874" spans="48:54" ht="12.75">
      <c r="AV874" s="1"/>
      <c r="AX874" s="1"/>
      <c r="AY874" s="1"/>
      <c r="BB874" s="41"/>
    </row>
    <row r="875" spans="48:54" ht="12.75">
      <c r="AV875" s="1"/>
      <c r="AX875" s="1"/>
      <c r="AY875" s="1"/>
      <c r="BB875" s="41"/>
    </row>
    <row r="876" spans="48:54" ht="12.75">
      <c r="AV876" s="1"/>
      <c r="AX876" s="1"/>
      <c r="AY876" s="1"/>
      <c r="BB876" s="41"/>
    </row>
    <row r="877" spans="48:54" ht="12.75">
      <c r="AV877" s="1"/>
      <c r="AX877" s="1"/>
      <c r="AY877" s="1"/>
      <c r="BB877" s="41"/>
    </row>
    <row r="878" spans="48:54" ht="12.75">
      <c r="AV878" s="1"/>
      <c r="AX878" s="1"/>
      <c r="AY878" s="1"/>
      <c r="BB878" s="41"/>
    </row>
    <row r="879" spans="48:54" ht="12.75">
      <c r="AV879" s="1"/>
      <c r="AX879" s="1"/>
      <c r="AY879" s="1"/>
      <c r="BB879" s="41"/>
    </row>
    <row r="880" spans="48:54" ht="12.75">
      <c r="AV880" s="1"/>
      <c r="AX880" s="1"/>
      <c r="AY880" s="1"/>
      <c r="BB880" s="41"/>
    </row>
    <row r="881" spans="48:54" ht="12.75">
      <c r="AV881" s="1"/>
      <c r="AX881" s="1"/>
      <c r="AY881" s="1"/>
      <c r="BB881" s="41"/>
    </row>
    <row r="882" spans="48:54" ht="12.75">
      <c r="AV882" s="1"/>
      <c r="AX882" s="1"/>
      <c r="AY882" s="1"/>
      <c r="BB882" s="41"/>
    </row>
    <row r="883" spans="48:54" ht="12.75">
      <c r="AV883" s="1"/>
      <c r="AX883" s="1"/>
      <c r="AY883" s="1"/>
      <c r="BB883" s="41"/>
    </row>
    <row r="884" spans="48:54" ht="12.75">
      <c r="AV884" s="1"/>
      <c r="AX884" s="1"/>
      <c r="AY884" s="1"/>
      <c r="BB884" s="41"/>
    </row>
    <row r="885" spans="48:54" ht="12.75">
      <c r="AV885" s="1"/>
      <c r="AX885" s="1"/>
      <c r="AY885" s="1"/>
      <c r="BB885" s="41"/>
    </row>
    <row r="886" spans="48:54" ht="12.75">
      <c r="AV886" s="1"/>
      <c r="AX886" s="1"/>
      <c r="AY886" s="1"/>
      <c r="BB886" s="41"/>
    </row>
    <row r="887" spans="48:54" ht="12.75">
      <c r="AV887" s="1"/>
      <c r="AX887" s="1"/>
      <c r="AY887" s="1"/>
      <c r="BB887" s="41"/>
    </row>
    <row r="888" spans="48:54" ht="12.75">
      <c r="AV888" s="1"/>
      <c r="AX888" s="1"/>
      <c r="AY888" s="1"/>
      <c r="BB888" s="41"/>
    </row>
    <row r="889" spans="48:54" ht="12.75">
      <c r="AV889" s="1"/>
      <c r="AX889" s="1"/>
      <c r="AY889" s="1"/>
      <c r="BB889" s="41"/>
    </row>
    <row r="890" spans="48:54" ht="12.75">
      <c r="AV890" s="1"/>
      <c r="AX890" s="1"/>
      <c r="AY890" s="1"/>
      <c r="BB890" s="41"/>
    </row>
    <row r="891" spans="48:54" ht="12.75">
      <c r="AV891" s="1"/>
      <c r="AX891" s="1"/>
      <c r="AY891" s="1"/>
      <c r="BB891" s="41"/>
    </row>
    <row r="892" spans="48:54" ht="12.75">
      <c r="AV892" s="1"/>
      <c r="AX892" s="1"/>
      <c r="AY892" s="1"/>
      <c r="BB892" s="41"/>
    </row>
    <row r="893" spans="48:54" ht="12.75">
      <c r="AV893" s="1"/>
      <c r="AX893" s="1"/>
      <c r="AY893" s="1"/>
      <c r="BB893" s="41"/>
    </row>
    <row r="894" spans="48:54" ht="12.75">
      <c r="AV894" s="1"/>
      <c r="AX894" s="1"/>
      <c r="AY894" s="1"/>
      <c r="BB894" s="41"/>
    </row>
    <row r="895" spans="48:54" ht="12.75">
      <c r="AV895" s="1"/>
      <c r="AX895" s="1"/>
      <c r="AY895" s="1"/>
      <c r="BB895" s="41"/>
    </row>
    <row r="896" spans="48:54" ht="12.75">
      <c r="AV896" s="1"/>
      <c r="AX896" s="1"/>
      <c r="AY896" s="1"/>
      <c r="BB896" s="41"/>
    </row>
    <row r="897" spans="48:54" ht="12.75">
      <c r="AV897" s="1"/>
      <c r="AX897" s="1"/>
      <c r="AY897" s="1"/>
      <c r="BB897" s="41"/>
    </row>
    <row r="898" spans="48:54" ht="12.75">
      <c r="AV898" s="1"/>
      <c r="AX898" s="1"/>
      <c r="AY898" s="1"/>
      <c r="BB898" s="41"/>
    </row>
    <row r="899" spans="48:54" ht="12.75">
      <c r="AV899" s="1"/>
      <c r="AX899" s="1"/>
      <c r="AY899" s="1"/>
      <c r="BB899" s="41"/>
    </row>
    <row r="900" spans="48:54" ht="12.75">
      <c r="AV900" s="1"/>
      <c r="AX900" s="1"/>
      <c r="AY900" s="1"/>
      <c r="BB900" s="41"/>
    </row>
    <row r="901" spans="48:54" ht="12.75">
      <c r="AV901" s="1"/>
      <c r="AX901" s="1"/>
      <c r="AY901" s="1"/>
      <c r="BB901" s="41"/>
    </row>
    <row r="902" spans="48:54" ht="12.75">
      <c r="AV902" s="1"/>
      <c r="AX902" s="1"/>
      <c r="AY902" s="1"/>
      <c r="BB902" s="41"/>
    </row>
    <row r="903" spans="48:54" ht="12.75">
      <c r="AV903" s="1"/>
      <c r="AX903" s="1"/>
      <c r="AY903" s="1"/>
      <c r="BB903" s="41"/>
    </row>
    <row r="904" spans="48:54" ht="12.75">
      <c r="AV904" s="1"/>
      <c r="AX904" s="1"/>
      <c r="AY904" s="1"/>
      <c r="BB904" s="41"/>
    </row>
    <row r="905" spans="48:54" ht="12.75">
      <c r="AV905" s="1"/>
      <c r="AX905" s="1"/>
      <c r="AY905" s="1"/>
      <c r="BB905" s="41"/>
    </row>
    <row r="906" spans="48:54" ht="12.75">
      <c r="AV906" s="1"/>
      <c r="AX906" s="1"/>
      <c r="AY906" s="1"/>
      <c r="BB906" s="41"/>
    </row>
    <row r="907" spans="48:54" ht="12.75">
      <c r="AV907" s="1"/>
      <c r="AX907" s="1"/>
      <c r="AY907" s="1"/>
      <c r="BB907" s="41"/>
    </row>
    <row r="908" spans="48:54" ht="12.75">
      <c r="AV908" s="1"/>
      <c r="AX908" s="1"/>
      <c r="AY908" s="1"/>
      <c r="BB908" s="41"/>
    </row>
    <row r="909" spans="48:54" ht="12.75">
      <c r="AV909" s="1"/>
      <c r="AX909" s="1"/>
      <c r="AY909" s="1"/>
      <c r="BB909" s="41"/>
    </row>
    <row r="910" spans="48:54" ht="12.75">
      <c r="AV910" s="1"/>
      <c r="AX910" s="1"/>
      <c r="AY910" s="1"/>
      <c r="BB910" s="41"/>
    </row>
    <row r="911" spans="48:54" ht="12.75">
      <c r="AV911" s="1"/>
      <c r="AX911" s="1"/>
      <c r="AY911" s="1"/>
      <c r="BB911" s="41"/>
    </row>
    <row r="912" spans="48:54" ht="12.75">
      <c r="AV912" s="1"/>
      <c r="AX912" s="1"/>
      <c r="AY912" s="1"/>
      <c r="BB912" s="41"/>
    </row>
    <row r="913" spans="48:54" ht="12.75">
      <c r="AV913" s="1"/>
      <c r="AX913" s="1"/>
      <c r="AY913" s="1"/>
      <c r="BB913" s="41"/>
    </row>
    <row r="914" spans="48:54" ht="12.75">
      <c r="AV914" s="1"/>
      <c r="AX914" s="1"/>
      <c r="AY914" s="1"/>
      <c r="BB914" s="41"/>
    </row>
    <row r="915" spans="48:54" ht="12.75">
      <c r="AV915" s="1"/>
      <c r="AX915" s="1"/>
      <c r="AY915" s="1"/>
      <c r="BB915" s="41"/>
    </row>
    <row r="916" spans="48:54" ht="12.75">
      <c r="AV916" s="1"/>
      <c r="AX916" s="1"/>
      <c r="AY916" s="1"/>
      <c r="BB916" s="41"/>
    </row>
    <row r="917" spans="48:54" ht="12.75">
      <c r="AV917" s="1"/>
      <c r="AX917" s="1"/>
      <c r="AY917" s="1"/>
      <c r="BB917" s="41"/>
    </row>
    <row r="918" spans="48:54" ht="12.75">
      <c r="AV918" s="1"/>
      <c r="AX918" s="1"/>
      <c r="AY918" s="1"/>
      <c r="BB918" s="41"/>
    </row>
    <row r="919" spans="48:54" ht="12.75">
      <c r="AV919" s="1"/>
      <c r="AX919" s="1"/>
      <c r="AY919" s="1"/>
      <c r="BB919" s="41"/>
    </row>
    <row r="920" spans="48:54" ht="12.75">
      <c r="AV920" s="1"/>
      <c r="AX920" s="1"/>
      <c r="AY920" s="1"/>
      <c r="BB920" s="41"/>
    </row>
    <row r="921" spans="48:54" ht="12.75">
      <c r="AV921" s="1"/>
      <c r="AX921" s="1"/>
      <c r="AY921" s="1"/>
      <c r="BB921" s="41"/>
    </row>
    <row r="922" spans="48:54" ht="12.75">
      <c r="AV922" s="1"/>
      <c r="AX922" s="1"/>
      <c r="AY922" s="1"/>
      <c r="BB922" s="41"/>
    </row>
    <row r="923" spans="48:54" ht="12.75">
      <c r="AV923" s="1"/>
      <c r="AX923" s="1"/>
      <c r="AY923" s="1"/>
      <c r="BB923" s="41"/>
    </row>
    <row r="924" spans="48:54" ht="12.75">
      <c r="AV924" s="1"/>
      <c r="AX924" s="1"/>
      <c r="AY924" s="1"/>
      <c r="BB924" s="41"/>
    </row>
    <row r="925" spans="48:54" ht="12.75">
      <c r="AV925" s="1"/>
      <c r="AX925" s="1"/>
      <c r="AY925" s="1"/>
      <c r="BB925" s="41"/>
    </row>
    <row r="926" spans="48:54" ht="12.75">
      <c r="AV926" s="1"/>
      <c r="AX926" s="1"/>
      <c r="AY926" s="1"/>
      <c r="BB926" s="41"/>
    </row>
    <row r="927" spans="48:54" ht="12.75">
      <c r="AV927" s="1"/>
      <c r="AX927" s="1"/>
      <c r="AY927" s="1"/>
      <c r="BB927" s="41"/>
    </row>
    <row r="928" spans="48:54" ht="12.75">
      <c r="AV928" s="1"/>
      <c r="AX928" s="1"/>
      <c r="AY928" s="1"/>
      <c r="BB928" s="41"/>
    </row>
    <row r="929" ht="12.75">
      <c r="BB929" s="41"/>
    </row>
    <row r="930" ht="12.75">
      <c r="BB930" s="41"/>
    </row>
    <row r="931" ht="12.75">
      <c r="BB931" s="41"/>
    </row>
    <row r="932" ht="12.75">
      <c r="BB932" s="41"/>
    </row>
    <row r="933" ht="12.75">
      <c r="BB933" s="41"/>
    </row>
    <row r="934" ht="12.75">
      <c r="BB934" s="41"/>
    </row>
    <row r="935" ht="12.75">
      <c r="BB935" s="41"/>
    </row>
    <row r="936" ht="12.75">
      <c r="BB936" s="41"/>
    </row>
    <row r="937" ht="12.75">
      <c r="BB937" s="41"/>
    </row>
    <row r="938" ht="12.75">
      <c r="BB938" s="41"/>
    </row>
    <row r="939" ht="12.75">
      <c r="BB939" s="41"/>
    </row>
    <row r="940" ht="12.75">
      <c r="BB940" s="41"/>
    </row>
    <row r="941" ht="12.75">
      <c r="BB941" s="41"/>
    </row>
    <row r="942" ht="12.75">
      <c r="BB942" s="41"/>
    </row>
    <row r="943" ht="12.75">
      <c r="BB943" s="41"/>
    </row>
    <row r="944" ht="12.75">
      <c r="BB944" s="41"/>
    </row>
    <row r="945" ht="12.75">
      <c r="BB945" s="41"/>
    </row>
    <row r="946" ht="12.75">
      <c r="BB946" s="41"/>
    </row>
    <row r="947" ht="12.75">
      <c r="BB947" s="41"/>
    </row>
    <row r="948" ht="12.75">
      <c r="BB948" s="41"/>
    </row>
    <row r="949" ht="12.75">
      <c r="BB949" s="41"/>
    </row>
    <row r="950" ht="12.75">
      <c r="BB950" s="41"/>
    </row>
    <row r="951" ht="12.75">
      <c r="BB951" s="41"/>
    </row>
    <row r="952" ht="12.75">
      <c r="BB952" s="41"/>
    </row>
    <row r="953" ht="12.75">
      <c r="BB953" s="41"/>
    </row>
    <row r="954" ht="12.75">
      <c r="BB954" s="41"/>
    </row>
    <row r="955" ht="12.75">
      <c r="BB955" s="41"/>
    </row>
    <row r="956" ht="12.75">
      <c r="BB956" s="41"/>
    </row>
    <row r="957" ht="12.75">
      <c r="BB957" s="41"/>
    </row>
    <row r="958" ht="12.75">
      <c r="BB958" s="41"/>
    </row>
    <row r="959" ht="12.75">
      <c r="BB959" s="41"/>
    </row>
    <row r="960" ht="12.75">
      <c r="BB960" s="41"/>
    </row>
    <row r="961" ht="12.75">
      <c r="BB961" s="41"/>
    </row>
    <row r="962" ht="12.75">
      <c r="BB962" s="41"/>
    </row>
    <row r="963" ht="12.75">
      <c r="BB963" s="41"/>
    </row>
    <row r="964" ht="12.75">
      <c r="BB964" s="41"/>
    </row>
    <row r="965" ht="12.75">
      <c r="BB965" s="41"/>
    </row>
    <row r="966" ht="12.75">
      <c r="BB966" s="41"/>
    </row>
    <row r="967" ht="12.75">
      <c r="BB967" s="41"/>
    </row>
    <row r="968" ht="12.75">
      <c r="BB968" s="41"/>
    </row>
    <row r="969" ht="12.75">
      <c r="BB969" s="41"/>
    </row>
    <row r="970" ht="12.75">
      <c r="BB970" s="41"/>
    </row>
    <row r="971" ht="12.75">
      <c r="BB971" s="41"/>
    </row>
    <row r="972" ht="12.75">
      <c r="BB972" s="41"/>
    </row>
    <row r="973" ht="12.75">
      <c r="BB973" s="41"/>
    </row>
    <row r="974" ht="12.75">
      <c r="BB974" s="41"/>
    </row>
    <row r="975" ht="12.75">
      <c r="BB975" s="41"/>
    </row>
    <row r="976" ht="12.75">
      <c r="BB976" s="41"/>
    </row>
    <row r="977" ht="12.75">
      <c r="BB977" s="41"/>
    </row>
    <row r="978" ht="12.75">
      <c r="BB978" s="41"/>
    </row>
    <row r="979" ht="12.75">
      <c r="BB979" s="41"/>
    </row>
    <row r="980" ht="12.75">
      <c r="BB980" s="41"/>
    </row>
    <row r="981" ht="12.75">
      <c r="BB981" s="41"/>
    </row>
    <row r="982" ht="12.75">
      <c r="BB982" s="41"/>
    </row>
    <row r="983" ht="12.75">
      <c r="BB983" s="41"/>
    </row>
    <row r="984" ht="12.75">
      <c r="BB984" s="41"/>
    </row>
    <row r="985" ht="12.75">
      <c r="BB985" s="41"/>
    </row>
    <row r="986" ht="12.75">
      <c r="BB986" s="41"/>
    </row>
    <row r="987" ht="12.75">
      <c r="BB987" s="41"/>
    </row>
    <row r="988" ht="12.75">
      <c r="BB988" s="41"/>
    </row>
    <row r="989" ht="12.75">
      <c r="BB989" s="41"/>
    </row>
    <row r="990" ht="12.75">
      <c r="BB990" s="41"/>
    </row>
    <row r="991" ht="12.75">
      <c r="BB991" s="41"/>
    </row>
    <row r="992" ht="12.75">
      <c r="BB992" s="41"/>
    </row>
    <row r="993" ht="12.75">
      <c r="BB993" s="41"/>
    </row>
    <row r="994" ht="12.75">
      <c r="BB994" s="41"/>
    </row>
    <row r="995" ht="12.75">
      <c r="BB995" s="41"/>
    </row>
    <row r="996" ht="12.75">
      <c r="BB996" s="41"/>
    </row>
    <row r="997" ht="12.75">
      <c r="BB997" s="41"/>
    </row>
    <row r="998" ht="12.75">
      <c r="BB998" s="41"/>
    </row>
    <row r="999" ht="12.75">
      <c r="BB999" s="41"/>
    </row>
    <row r="1000" ht="12.75">
      <c r="BB1000" s="41"/>
    </row>
    <row r="1001" ht="12.75">
      <c r="BB1001" s="41"/>
    </row>
    <row r="1002" ht="12.75">
      <c r="BB1002" s="41"/>
    </row>
    <row r="1003" ht="12.75">
      <c r="BB1003" s="41"/>
    </row>
    <row r="1004" ht="12.75">
      <c r="BB1004" s="41"/>
    </row>
    <row r="1005" ht="12.75">
      <c r="BB1005" s="41"/>
    </row>
    <row r="1006" ht="12.75">
      <c r="BB1006" s="41"/>
    </row>
    <row r="1007" ht="12.75">
      <c r="BB1007" s="41"/>
    </row>
    <row r="1008" ht="12.75">
      <c r="BB1008" s="41"/>
    </row>
    <row r="1009" ht="12.75">
      <c r="BB1009" s="41"/>
    </row>
    <row r="1010" ht="12.75">
      <c r="BB1010" s="41"/>
    </row>
    <row r="1011" ht="12.75">
      <c r="BB1011" s="41"/>
    </row>
    <row r="1012" ht="12.75">
      <c r="BB1012" s="41"/>
    </row>
    <row r="1013" ht="12.75">
      <c r="BB1013" s="41"/>
    </row>
    <row r="1014" ht="12.75">
      <c r="BB1014" s="41"/>
    </row>
    <row r="1015" ht="12.75">
      <c r="BB1015" s="41"/>
    </row>
    <row r="1016" ht="12.75">
      <c r="BB1016" s="41"/>
    </row>
    <row r="1017" ht="12.75">
      <c r="BB1017" s="41"/>
    </row>
    <row r="1018" ht="12.75">
      <c r="BB1018" s="41"/>
    </row>
    <row r="1019" ht="12.75">
      <c r="BB1019" s="41"/>
    </row>
    <row r="1020" ht="12.75">
      <c r="BB1020" s="41"/>
    </row>
    <row r="1021" ht="12.75">
      <c r="BB1021" s="41"/>
    </row>
    <row r="1022" ht="12.75">
      <c r="BB1022" s="41"/>
    </row>
    <row r="1023" ht="12.75">
      <c r="BB1023" s="41"/>
    </row>
    <row r="1024" ht="12.75">
      <c r="BB1024" s="41"/>
    </row>
    <row r="1025" ht="12.75">
      <c r="BB1025" s="41"/>
    </row>
    <row r="1026" ht="12.75">
      <c r="BB1026" s="41"/>
    </row>
    <row r="1027" ht="12.75">
      <c r="BB1027" s="41"/>
    </row>
    <row r="1028" ht="12.75">
      <c r="BB1028" s="41"/>
    </row>
    <row r="1029" ht="12.75">
      <c r="BB1029" s="41"/>
    </row>
    <row r="1030" ht="12.75">
      <c r="BB1030" s="41"/>
    </row>
    <row r="1031" ht="12.75">
      <c r="BB1031" s="41"/>
    </row>
    <row r="1032" ht="12.75">
      <c r="BB1032" s="41"/>
    </row>
    <row r="1033" ht="12.75">
      <c r="BB1033" s="41"/>
    </row>
    <row r="1034" ht="12.75">
      <c r="BB1034" s="41"/>
    </row>
    <row r="1035" ht="12.75">
      <c r="BB1035" s="41"/>
    </row>
    <row r="1036" ht="12.75">
      <c r="BB1036" s="41"/>
    </row>
    <row r="1037" ht="12.75">
      <c r="BB1037" s="41"/>
    </row>
    <row r="1038" ht="12.75">
      <c r="BB1038" s="41"/>
    </row>
    <row r="1039" ht="12.75">
      <c r="BB1039" s="41"/>
    </row>
    <row r="1040" ht="12.75">
      <c r="BB1040" s="41"/>
    </row>
    <row r="1041" ht="12.75">
      <c r="BB1041" s="41"/>
    </row>
    <row r="1042" ht="12.75">
      <c r="BB1042" s="41"/>
    </row>
    <row r="1043" ht="12.75">
      <c r="BB1043" s="41"/>
    </row>
    <row r="1044" ht="12.75">
      <c r="BB1044" s="41"/>
    </row>
    <row r="1045" ht="12.75">
      <c r="BB1045" s="41"/>
    </row>
    <row r="1046" ht="12.75">
      <c r="BB1046" s="41"/>
    </row>
    <row r="1047" ht="12.75">
      <c r="BB1047" s="41"/>
    </row>
    <row r="1048" ht="12.75">
      <c r="BB1048" s="41"/>
    </row>
    <row r="1049" ht="12.75">
      <c r="BB1049" s="41"/>
    </row>
    <row r="1050" ht="12.75">
      <c r="BB1050" s="41"/>
    </row>
    <row r="1051" ht="12.75">
      <c r="BB1051" s="41"/>
    </row>
    <row r="1052" ht="12.75">
      <c r="BB1052" s="41"/>
    </row>
    <row r="1053" ht="12.75">
      <c r="BB1053" s="41"/>
    </row>
    <row r="1054" ht="12.75">
      <c r="BB1054" s="41"/>
    </row>
    <row r="1055" ht="12.75">
      <c r="BB1055" s="41"/>
    </row>
    <row r="1056" ht="12.75">
      <c r="BB1056" s="41"/>
    </row>
    <row r="1057" ht="12.75">
      <c r="BB1057" s="41"/>
    </row>
    <row r="1058" ht="12.75">
      <c r="BB1058" s="41"/>
    </row>
    <row r="1059" ht="12.75">
      <c r="BB1059" s="41"/>
    </row>
    <row r="1060" ht="12.75">
      <c r="BB1060" s="41"/>
    </row>
    <row r="1061" ht="12.75">
      <c r="BB1061" s="41"/>
    </row>
    <row r="1062" ht="12.75">
      <c r="BB1062" s="41"/>
    </row>
    <row r="1063" ht="12.75">
      <c r="BB1063" s="41"/>
    </row>
    <row r="1064" ht="12.75">
      <c r="BB1064" s="41"/>
    </row>
    <row r="1065" ht="12.75">
      <c r="BB1065" s="41"/>
    </row>
    <row r="1066" ht="12.75">
      <c r="BB1066" s="41"/>
    </row>
    <row r="1067" ht="12.75">
      <c r="BB1067" s="41"/>
    </row>
    <row r="1068" ht="12.75">
      <c r="BB1068" s="41"/>
    </row>
    <row r="1069" ht="12.75">
      <c r="BB1069" s="41"/>
    </row>
    <row r="1070" ht="12.75">
      <c r="BB1070" s="41"/>
    </row>
    <row r="1071" ht="12.75">
      <c r="BB1071" s="41"/>
    </row>
    <row r="1072" ht="12.75">
      <c r="BB1072" s="41"/>
    </row>
    <row r="1073" ht="12.75">
      <c r="BB1073" s="41"/>
    </row>
    <row r="1074" ht="12.75">
      <c r="BB1074" s="41"/>
    </row>
    <row r="1075" ht="12.75">
      <c r="BB1075" s="41"/>
    </row>
    <row r="1076" ht="12.75">
      <c r="BB1076" s="41"/>
    </row>
    <row r="1077" ht="12.75">
      <c r="BB1077" s="41"/>
    </row>
    <row r="1078" ht="12.75">
      <c r="BB1078" s="41"/>
    </row>
    <row r="1079" ht="12.75">
      <c r="BB1079" s="41"/>
    </row>
    <row r="1080" ht="12.75">
      <c r="BB1080" s="41"/>
    </row>
    <row r="1081" ht="12.75">
      <c r="BB1081" s="41"/>
    </row>
    <row r="1082" ht="12.75">
      <c r="BB1082" s="41"/>
    </row>
    <row r="1083" ht="12.75">
      <c r="BB1083" s="41"/>
    </row>
    <row r="1084" ht="12.75">
      <c r="BB1084" s="41"/>
    </row>
    <row r="1085" ht="12.75">
      <c r="BB1085" s="41"/>
    </row>
    <row r="1086" ht="12.75">
      <c r="BB1086" s="41"/>
    </row>
    <row r="1087" ht="12.75">
      <c r="BB1087" s="41"/>
    </row>
    <row r="1088" ht="12.75">
      <c r="BB1088" s="41"/>
    </row>
    <row r="1089" ht="12.75">
      <c r="BB1089" s="41"/>
    </row>
    <row r="1090" ht="12.75">
      <c r="BB1090" s="41"/>
    </row>
    <row r="1091" ht="12.75">
      <c r="BB1091" s="41"/>
    </row>
    <row r="1092" ht="12.75">
      <c r="BB1092" s="41"/>
    </row>
    <row r="1093" ht="12.75">
      <c r="BB1093" s="41"/>
    </row>
    <row r="1094" ht="12.75">
      <c r="BB1094" s="41"/>
    </row>
    <row r="1095" ht="12.75">
      <c r="BB1095" s="41"/>
    </row>
    <row r="1096" ht="12.75">
      <c r="BB1096" s="41"/>
    </row>
    <row r="1097" ht="12.75">
      <c r="BB1097" s="41"/>
    </row>
    <row r="1098" ht="12.75">
      <c r="BB1098" s="41"/>
    </row>
    <row r="1099" ht="12.75">
      <c r="BB1099" s="41"/>
    </row>
    <row r="1100" ht="12.75">
      <c r="BB1100" s="41"/>
    </row>
    <row r="1101" ht="12.75">
      <c r="BB1101" s="41"/>
    </row>
    <row r="1102" ht="12.75">
      <c r="BB1102" s="41"/>
    </row>
    <row r="1103" ht="12.75">
      <c r="BB1103" s="41"/>
    </row>
    <row r="1104" ht="12.75">
      <c r="BB1104" s="41"/>
    </row>
    <row r="1105" ht="12.75">
      <c r="BB1105" s="41"/>
    </row>
    <row r="1106" ht="12.75">
      <c r="BB1106" s="41"/>
    </row>
    <row r="1107" ht="12.75">
      <c r="BB1107" s="41"/>
    </row>
    <row r="1108" ht="12.75">
      <c r="BB1108" s="41"/>
    </row>
    <row r="1109" ht="12.75">
      <c r="BB1109" s="41"/>
    </row>
    <row r="1110" ht="12.75">
      <c r="BB1110" s="41"/>
    </row>
    <row r="1111" ht="12.75">
      <c r="BB1111" s="41"/>
    </row>
    <row r="1112" ht="12.75">
      <c r="BB1112" s="41"/>
    </row>
    <row r="1113" ht="12.75">
      <c r="BB1113" s="41"/>
    </row>
    <row r="1114" ht="12.75">
      <c r="BB1114" s="41"/>
    </row>
    <row r="1115" ht="12.75">
      <c r="BB1115" s="41"/>
    </row>
    <row r="1116" ht="12.75">
      <c r="BB1116" s="41"/>
    </row>
    <row r="1117" ht="12.75">
      <c r="BB1117" s="41"/>
    </row>
    <row r="1118" ht="12.75">
      <c r="BB1118" s="41"/>
    </row>
    <row r="1119" ht="12.75">
      <c r="BB1119" s="41"/>
    </row>
    <row r="1120" ht="12.75">
      <c r="BB1120" s="41"/>
    </row>
    <row r="1121" ht="12.75">
      <c r="BB1121" s="41"/>
    </row>
    <row r="1122" ht="12.75">
      <c r="BB1122" s="41"/>
    </row>
    <row r="1123" ht="12.75">
      <c r="BB1123" s="41"/>
    </row>
    <row r="1124" ht="12.75">
      <c r="BB1124" s="41"/>
    </row>
    <row r="1125" ht="12.75">
      <c r="BB1125" s="41"/>
    </row>
    <row r="1126" ht="12.75">
      <c r="BB1126" s="41"/>
    </row>
    <row r="1127" ht="12.75">
      <c r="BB1127" s="41"/>
    </row>
    <row r="1128" ht="12.75">
      <c r="BB1128" s="41"/>
    </row>
    <row r="1129" ht="12.75">
      <c r="BB1129" s="41"/>
    </row>
    <row r="1130" ht="12.75">
      <c r="BB1130" s="41"/>
    </row>
    <row r="1131" ht="12.75">
      <c r="BB1131" s="41"/>
    </row>
    <row r="1132" ht="12.75">
      <c r="BB1132" s="41"/>
    </row>
    <row r="1133" ht="12.75">
      <c r="BB1133" s="41"/>
    </row>
    <row r="1134" ht="12.75">
      <c r="BB1134" s="41"/>
    </row>
    <row r="1135" ht="12.75">
      <c r="BB1135" s="41"/>
    </row>
    <row r="1136" ht="12.75">
      <c r="BB1136" s="41"/>
    </row>
    <row r="1137" ht="12.75">
      <c r="BB1137" s="41"/>
    </row>
    <row r="1138" ht="12.75">
      <c r="BB1138" s="41"/>
    </row>
    <row r="1139" ht="12.75">
      <c r="BB1139" s="41"/>
    </row>
    <row r="1140" ht="12.75">
      <c r="BB1140" s="41"/>
    </row>
    <row r="1141" ht="12.75">
      <c r="BB1141" s="41"/>
    </row>
    <row r="1142" ht="12.75">
      <c r="BB1142" s="41"/>
    </row>
    <row r="1143" ht="12.75">
      <c r="BB1143" s="41"/>
    </row>
    <row r="1144" ht="12.75">
      <c r="BB1144" s="41"/>
    </row>
    <row r="1145" ht="12.75">
      <c r="BB1145" s="41"/>
    </row>
    <row r="1146" ht="12.75">
      <c r="BB1146" s="41"/>
    </row>
    <row r="1147" ht="12.75">
      <c r="BB1147" s="41"/>
    </row>
    <row r="1148" ht="12.75">
      <c r="BB1148" s="41"/>
    </row>
    <row r="1149" ht="12.75">
      <c r="BB1149" s="41"/>
    </row>
    <row r="1150" ht="12.75">
      <c r="BB1150" s="41"/>
    </row>
    <row r="1151" ht="12.75">
      <c r="BB1151" s="41"/>
    </row>
    <row r="1152" ht="12.75">
      <c r="BB1152" s="41"/>
    </row>
    <row r="1153" ht="12.75">
      <c r="BB1153" s="41"/>
    </row>
    <row r="1154" ht="12.75">
      <c r="BB1154" s="41"/>
    </row>
    <row r="1155" ht="12.75">
      <c r="BB1155" s="41"/>
    </row>
    <row r="1156" ht="12.75">
      <c r="BB1156" s="41"/>
    </row>
    <row r="1157" ht="12.75">
      <c r="BB1157" s="41"/>
    </row>
    <row r="1158" ht="12.75">
      <c r="BB1158" s="41"/>
    </row>
    <row r="1159" ht="12.75">
      <c r="BB1159" s="41"/>
    </row>
    <row r="1160" ht="12.75">
      <c r="BB1160" s="41"/>
    </row>
    <row r="1161" ht="12.75">
      <c r="BB1161" s="41"/>
    </row>
    <row r="1162" ht="12.75">
      <c r="BB1162" s="41"/>
    </row>
    <row r="1163" ht="12.75">
      <c r="BB1163" s="41"/>
    </row>
    <row r="1164" ht="12.75">
      <c r="BB1164" s="41"/>
    </row>
    <row r="1165" ht="12.75">
      <c r="BB1165" s="41"/>
    </row>
    <row r="1166" ht="12.75">
      <c r="BB1166" s="41"/>
    </row>
    <row r="1167" ht="12.75">
      <c r="BB1167" s="41"/>
    </row>
    <row r="1168" ht="12.75">
      <c r="BB1168" s="41"/>
    </row>
    <row r="1169" ht="12.75">
      <c r="BB1169" s="41"/>
    </row>
    <row r="1170" ht="12.75">
      <c r="BB1170" s="41"/>
    </row>
    <row r="1171" ht="12.75">
      <c r="BB1171" s="41"/>
    </row>
    <row r="1172" ht="12.75">
      <c r="BB1172" s="41"/>
    </row>
    <row r="1173" ht="12.75">
      <c r="BB1173" s="41"/>
    </row>
    <row r="1174" ht="12.75">
      <c r="BB1174" s="41"/>
    </row>
    <row r="1175" ht="12.75">
      <c r="BB1175" s="41"/>
    </row>
    <row r="1176" ht="12.75">
      <c r="BB1176" s="41"/>
    </row>
    <row r="1177" ht="12.75">
      <c r="BB1177" s="41"/>
    </row>
    <row r="1178" ht="12.75">
      <c r="BB1178" s="41"/>
    </row>
    <row r="1179" ht="12.75">
      <c r="BB1179" s="41"/>
    </row>
    <row r="1180" ht="12.75">
      <c r="BB1180" s="41"/>
    </row>
    <row r="1181" ht="12.75">
      <c r="BB1181" s="41"/>
    </row>
    <row r="1182" ht="12.75">
      <c r="BB1182" s="41"/>
    </row>
    <row r="1183" ht="12.75">
      <c r="BB1183" s="41"/>
    </row>
    <row r="1184" ht="12.75">
      <c r="BB1184" s="41"/>
    </row>
    <row r="1185" ht="12.75">
      <c r="BB1185" s="41"/>
    </row>
    <row r="1186" ht="12.75">
      <c r="BB1186" s="41"/>
    </row>
    <row r="1187" ht="12.75">
      <c r="BB1187" s="41"/>
    </row>
    <row r="1188" ht="12.75">
      <c r="BB1188" s="41"/>
    </row>
    <row r="1189" ht="12.75">
      <c r="BB1189" s="41"/>
    </row>
    <row r="1190" ht="12.75">
      <c r="BB1190" s="41"/>
    </row>
    <row r="1191" ht="12.75">
      <c r="BB1191" s="41"/>
    </row>
    <row r="1192" ht="12.75">
      <c r="BB1192" s="41"/>
    </row>
    <row r="1193" ht="12.75">
      <c r="BB1193" s="41"/>
    </row>
    <row r="1194" ht="12.75">
      <c r="BB1194" s="41"/>
    </row>
    <row r="1195" ht="12.75">
      <c r="BB1195" s="41"/>
    </row>
    <row r="1196" ht="12.75">
      <c r="BB1196" s="41"/>
    </row>
    <row r="1197" ht="12.75">
      <c r="BB1197" s="41"/>
    </row>
    <row r="1198" ht="12.75">
      <c r="BB1198" s="41"/>
    </row>
    <row r="1199" ht="12.75">
      <c r="BB1199" s="41"/>
    </row>
    <row r="1200" ht="12.75">
      <c r="BB1200" s="41"/>
    </row>
    <row r="1201" ht="12.75">
      <c r="BB1201" s="41"/>
    </row>
    <row r="1202" ht="12.75">
      <c r="BB1202" s="41"/>
    </row>
    <row r="1203" ht="12.75">
      <c r="BB1203" s="41"/>
    </row>
    <row r="1204" ht="12.75">
      <c r="BB1204" s="41"/>
    </row>
    <row r="1205" ht="12.75">
      <c r="BB1205" s="41"/>
    </row>
    <row r="1206" ht="12.75">
      <c r="BB1206" s="41"/>
    </row>
    <row r="1207" ht="12.75">
      <c r="BB1207" s="41"/>
    </row>
    <row r="1208" ht="12.75">
      <c r="BB1208" s="41"/>
    </row>
    <row r="1209" ht="12.75">
      <c r="BB1209" s="41"/>
    </row>
    <row r="1210" ht="12.75">
      <c r="BB1210" s="41"/>
    </row>
    <row r="1211" ht="12.75">
      <c r="BB1211" s="41"/>
    </row>
    <row r="1212" ht="12.75">
      <c r="BB1212" s="41"/>
    </row>
    <row r="1213" ht="12.75">
      <c r="BB1213" s="41"/>
    </row>
    <row r="1214" ht="12.75">
      <c r="BB1214" s="41"/>
    </row>
    <row r="1215" ht="12.75">
      <c r="BB1215" s="41"/>
    </row>
    <row r="1216" ht="12.75">
      <c r="BB1216" s="41"/>
    </row>
    <row r="1217" ht="12.75">
      <c r="BB1217" s="41"/>
    </row>
    <row r="1218" ht="12.75">
      <c r="BB1218" s="41"/>
    </row>
    <row r="1219" ht="12.75">
      <c r="BB1219" s="41"/>
    </row>
    <row r="1220" ht="12.75">
      <c r="BB1220" s="41"/>
    </row>
    <row r="1221" ht="12.75">
      <c r="BB1221" s="41"/>
    </row>
    <row r="1222" ht="12.75">
      <c r="BB1222" s="41"/>
    </row>
    <row r="1223" ht="12.75">
      <c r="BB1223" s="41"/>
    </row>
    <row r="1224" ht="12.75">
      <c r="BB1224" s="41"/>
    </row>
    <row r="1225" ht="12.75">
      <c r="BB1225" s="41"/>
    </row>
    <row r="1226" ht="12.75">
      <c r="BB1226" s="41"/>
    </row>
    <row r="1227" ht="12.75">
      <c r="BB1227" s="41"/>
    </row>
    <row r="1228" ht="12.75">
      <c r="BB1228" s="41"/>
    </row>
    <row r="1229" ht="12.75">
      <c r="BB1229" s="41"/>
    </row>
    <row r="1230" ht="12.75">
      <c r="BB1230" s="41"/>
    </row>
    <row r="1231" ht="12.75">
      <c r="BB1231" s="41"/>
    </row>
    <row r="1232" ht="12.75">
      <c r="BB1232" s="41"/>
    </row>
    <row r="1233" ht="12.75">
      <c r="BB1233" s="41"/>
    </row>
    <row r="1234" ht="12.75">
      <c r="BB1234" s="41"/>
    </row>
    <row r="1235" ht="12.75">
      <c r="BB1235" s="41"/>
    </row>
    <row r="1236" ht="12.75">
      <c r="BB1236" s="41"/>
    </row>
    <row r="1237" ht="12.75">
      <c r="BB1237" s="41"/>
    </row>
    <row r="1238" ht="12.75">
      <c r="BB1238" s="41"/>
    </row>
    <row r="1239" ht="12.75">
      <c r="BB1239" s="41"/>
    </row>
    <row r="1240" ht="12.75">
      <c r="BB1240" s="41"/>
    </row>
    <row r="1241" ht="12.75">
      <c r="BB1241" s="41"/>
    </row>
    <row r="1242" ht="12.75">
      <c r="BB1242" s="41"/>
    </row>
    <row r="1243" ht="12.75">
      <c r="BB1243" s="41"/>
    </row>
    <row r="1244" ht="12.75">
      <c r="BB1244" s="41"/>
    </row>
    <row r="1245" ht="12.75">
      <c r="BB1245" s="41"/>
    </row>
    <row r="1246" ht="12.75">
      <c r="BB1246" s="41"/>
    </row>
    <row r="1247" ht="12.75">
      <c r="BB1247" s="41"/>
    </row>
    <row r="1248" ht="12.75">
      <c r="BB1248" s="41"/>
    </row>
    <row r="1249" ht="12.75">
      <c r="BB1249" s="41"/>
    </row>
    <row r="1250" ht="12.75">
      <c r="BB1250" s="41"/>
    </row>
    <row r="1251" ht="12.75">
      <c r="BB1251" s="41"/>
    </row>
    <row r="1252" ht="12.75">
      <c r="BB1252" s="41"/>
    </row>
    <row r="1253" ht="12.75">
      <c r="BB1253" s="41"/>
    </row>
    <row r="1254" ht="12.75">
      <c r="BB1254" s="41"/>
    </row>
    <row r="1255" ht="12.75">
      <c r="BB1255" s="41"/>
    </row>
    <row r="1256" ht="12.75">
      <c r="BB1256" s="41"/>
    </row>
    <row r="1257" ht="12.75">
      <c r="BB1257" s="41"/>
    </row>
    <row r="1258" ht="12.75">
      <c r="BB1258" s="41"/>
    </row>
    <row r="1259" ht="12.75">
      <c r="BB1259" s="41"/>
    </row>
    <row r="1260" ht="12.75">
      <c r="BB1260" s="41"/>
    </row>
    <row r="1261" ht="12.75">
      <c r="BB1261" s="41"/>
    </row>
    <row r="1262" ht="12.75">
      <c r="BB1262" s="41"/>
    </row>
    <row r="1263" ht="12.75">
      <c r="BB1263" s="41"/>
    </row>
    <row r="1264" ht="12.75">
      <c r="BB1264" s="41"/>
    </row>
    <row r="1265" ht="12.75">
      <c r="BB1265" s="41"/>
    </row>
    <row r="1266" ht="12.75">
      <c r="BB1266" s="41"/>
    </row>
    <row r="1267" ht="12.75">
      <c r="BB1267" s="41"/>
    </row>
    <row r="1268" ht="12.75">
      <c r="BB1268" s="41"/>
    </row>
    <row r="1269" ht="12.75">
      <c r="BB1269" s="41"/>
    </row>
    <row r="1270" ht="12.75">
      <c r="BB1270" s="41"/>
    </row>
    <row r="1271" ht="12.75">
      <c r="BB1271" s="41"/>
    </row>
    <row r="1272" ht="12.75">
      <c r="BB1272" s="41"/>
    </row>
    <row r="1273" ht="12.75">
      <c r="BB1273" s="41"/>
    </row>
    <row r="1274" ht="12.75">
      <c r="BB1274" s="41"/>
    </row>
    <row r="1275" ht="12.75">
      <c r="BB1275" s="41"/>
    </row>
    <row r="1276" ht="12.75">
      <c r="BB1276" s="41"/>
    </row>
    <row r="1277" ht="12.75">
      <c r="BB1277" s="41"/>
    </row>
    <row r="1278" ht="12.75">
      <c r="BB1278" s="41"/>
    </row>
    <row r="1279" ht="12.75">
      <c r="BB1279" s="41"/>
    </row>
    <row r="1280" ht="12.75">
      <c r="BB1280" s="41"/>
    </row>
    <row r="1281" ht="12.75">
      <c r="BB1281" s="41"/>
    </row>
    <row r="1282" ht="12.75">
      <c r="BB1282" s="41"/>
    </row>
    <row r="1283" ht="12.75">
      <c r="BB1283" s="41"/>
    </row>
    <row r="1284" ht="12.75">
      <c r="BB1284" s="41"/>
    </row>
    <row r="1285" ht="12.75">
      <c r="BB1285" s="41"/>
    </row>
    <row r="1286" ht="12.75">
      <c r="BB1286" s="41"/>
    </row>
    <row r="1287" ht="12.75">
      <c r="BB1287" s="41"/>
    </row>
    <row r="1288" ht="12.75">
      <c r="BB1288" s="41"/>
    </row>
    <row r="1289" ht="12.75">
      <c r="BB1289" s="41"/>
    </row>
    <row r="1290" ht="12.75">
      <c r="BB1290" s="41"/>
    </row>
    <row r="1291" ht="12.75">
      <c r="BB1291" s="41"/>
    </row>
    <row r="1292" ht="12.75">
      <c r="BB1292" s="41"/>
    </row>
    <row r="1293" ht="12.75">
      <c r="BB1293" s="41"/>
    </row>
    <row r="1294" ht="12.75">
      <c r="BB1294" s="41"/>
    </row>
    <row r="1295" ht="12.75">
      <c r="BB1295" s="41"/>
    </row>
    <row r="1296" ht="12.75">
      <c r="BB1296" s="41"/>
    </row>
    <row r="1297" ht="12.75">
      <c r="BB1297" s="41"/>
    </row>
    <row r="1298" ht="12.75">
      <c r="BB1298" s="41"/>
    </row>
    <row r="1299" ht="12.75">
      <c r="BB1299" s="41"/>
    </row>
    <row r="1300" ht="12.75">
      <c r="BB1300" s="41"/>
    </row>
    <row r="1301" ht="12.75">
      <c r="BB1301" s="41"/>
    </row>
    <row r="1302" ht="12.75">
      <c r="BB1302" s="41"/>
    </row>
    <row r="1303" ht="12.75">
      <c r="BB1303" s="41"/>
    </row>
    <row r="1304" ht="12.75">
      <c r="BB1304" s="41"/>
    </row>
    <row r="1305" ht="12.75">
      <c r="BB1305" s="41"/>
    </row>
    <row r="1306" ht="12.75">
      <c r="BB1306" s="41"/>
    </row>
    <row r="1307" ht="12.75">
      <c r="BB1307" s="41"/>
    </row>
    <row r="1308" ht="12.75">
      <c r="BB1308" s="41"/>
    </row>
    <row r="1309" ht="12.75">
      <c r="BB1309" s="41"/>
    </row>
    <row r="1310" ht="12.75">
      <c r="BB1310" s="41"/>
    </row>
    <row r="1311" ht="12.75">
      <c r="BB1311" s="41"/>
    </row>
    <row r="1312" ht="12.75">
      <c r="BB1312" s="41"/>
    </row>
    <row r="1313" ht="12.75">
      <c r="BB1313" s="41"/>
    </row>
    <row r="1314" ht="12.75">
      <c r="BB1314" s="41"/>
    </row>
    <row r="1315" ht="12.75">
      <c r="BB1315" s="41"/>
    </row>
    <row r="1316" ht="12.75">
      <c r="BB1316" s="41"/>
    </row>
    <row r="1317" ht="12.75">
      <c r="BB1317" s="41"/>
    </row>
    <row r="1318" ht="12.75">
      <c r="BB1318" s="41"/>
    </row>
    <row r="1319" ht="12.75">
      <c r="BB1319" s="41"/>
    </row>
    <row r="1320" ht="12.75">
      <c r="BB1320" s="41"/>
    </row>
    <row r="1321" ht="12.75">
      <c r="BB1321" s="41"/>
    </row>
    <row r="1322" ht="12.75">
      <c r="BB1322" s="41"/>
    </row>
    <row r="1323" ht="12.75">
      <c r="BB1323" s="41"/>
    </row>
    <row r="1324" ht="12.75">
      <c r="BB1324" s="41"/>
    </row>
    <row r="1325" ht="12.75">
      <c r="BB1325" s="41"/>
    </row>
    <row r="1326" ht="12.75">
      <c r="BB1326" s="41"/>
    </row>
    <row r="1327" ht="12.75">
      <c r="BB1327" s="41"/>
    </row>
    <row r="1328" ht="12.75">
      <c r="BB1328" s="41"/>
    </row>
    <row r="1329" ht="12.75">
      <c r="BB1329" s="41"/>
    </row>
    <row r="1330" ht="12.75">
      <c r="BB1330" s="41"/>
    </row>
    <row r="1331" ht="12.75">
      <c r="BB1331" s="41"/>
    </row>
    <row r="1332" ht="12.75">
      <c r="BB1332" s="41"/>
    </row>
    <row r="1333" ht="12.75">
      <c r="BB1333" s="41"/>
    </row>
    <row r="1334" ht="12.75">
      <c r="BB1334" s="41"/>
    </row>
    <row r="1335" ht="12.75">
      <c r="BB1335" s="41"/>
    </row>
    <row r="1336" ht="12.75">
      <c r="BB1336" s="41"/>
    </row>
    <row r="1337" ht="12.75">
      <c r="BB1337" s="41"/>
    </row>
    <row r="1338" ht="12.75">
      <c r="BB1338" s="41"/>
    </row>
    <row r="1339" ht="12.75">
      <c r="BB1339" s="41"/>
    </row>
    <row r="1340" ht="12.75">
      <c r="BB1340" s="41"/>
    </row>
    <row r="1341" ht="12.75">
      <c r="BB1341" s="41"/>
    </row>
    <row r="1342" ht="12.75">
      <c r="BB1342" s="41"/>
    </row>
    <row r="1343" ht="12.75">
      <c r="BB1343" s="41"/>
    </row>
    <row r="1344" ht="12.75">
      <c r="BB1344" s="41"/>
    </row>
    <row r="1345" ht="12.75">
      <c r="BB1345" s="41"/>
    </row>
    <row r="1346" ht="12.75">
      <c r="BB1346" s="41"/>
    </row>
    <row r="1347" ht="12.75">
      <c r="BB1347" s="41"/>
    </row>
    <row r="1348" ht="12.75">
      <c r="BB1348" s="41"/>
    </row>
    <row r="1349" ht="12.75">
      <c r="BB1349" s="41"/>
    </row>
    <row r="1350" ht="12.75">
      <c r="BB1350" s="41"/>
    </row>
    <row r="1351" ht="12.75">
      <c r="BB1351" s="41"/>
    </row>
    <row r="1352" ht="12.75">
      <c r="BB1352" s="41"/>
    </row>
    <row r="1353" ht="12.75">
      <c r="BB1353" s="41"/>
    </row>
    <row r="1354" ht="12.75">
      <c r="BB1354" s="41"/>
    </row>
    <row r="1355" ht="12.75">
      <c r="BB1355" s="41"/>
    </row>
    <row r="1356" ht="12.75">
      <c r="BB1356" s="41"/>
    </row>
    <row r="1357" ht="12.75">
      <c r="BB1357" s="41"/>
    </row>
    <row r="1358" ht="12.75">
      <c r="BB1358" s="41"/>
    </row>
    <row r="1359" ht="12.75">
      <c r="BB1359" s="41"/>
    </row>
    <row r="1360" ht="12.75">
      <c r="BB1360" s="41"/>
    </row>
    <row r="1361" ht="12.75">
      <c r="BB1361" s="41"/>
    </row>
    <row r="1362" ht="12.75">
      <c r="BB1362" s="41"/>
    </row>
    <row r="1363" ht="12.75">
      <c r="BB1363" s="41"/>
    </row>
    <row r="1364" ht="12.75">
      <c r="BB1364" s="41"/>
    </row>
    <row r="1365" ht="12.75">
      <c r="BB1365" s="41"/>
    </row>
    <row r="1366" ht="12.75">
      <c r="BB1366" s="41"/>
    </row>
    <row r="1367" ht="12.75">
      <c r="BB1367" s="41"/>
    </row>
    <row r="1368" ht="12.75">
      <c r="BB1368" s="41"/>
    </row>
    <row r="1369" ht="12.75">
      <c r="BB1369" s="41"/>
    </row>
    <row r="1370" ht="12.75">
      <c r="BB1370" s="41"/>
    </row>
    <row r="1371" ht="12.75">
      <c r="BB1371" s="41"/>
    </row>
    <row r="1372" ht="12.75">
      <c r="BB1372" s="41"/>
    </row>
    <row r="1373" ht="12.75">
      <c r="BB1373" s="41"/>
    </row>
    <row r="1374" ht="12.75">
      <c r="BB1374" s="41"/>
    </row>
    <row r="1375" ht="12.75">
      <c r="BB1375" s="41"/>
    </row>
    <row r="1376" ht="12.75">
      <c r="BB1376" s="41"/>
    </row>
    <row r="1377" ht="12.75">
      <c r="BB1377" s="41"/>
    </row>
    <row r="1378" ht="12.75">
      <c r="BB1378" s="41"/>
    </row>
    <row r="1379" ht="12.75">
      <c r="BB1379" s="41"/>
    </row>
    <row r="1380" ht="12.75">
      <c r="BB1380" s="41"/>
    </row>
    <row r="1381" ht="12.75">
      <c r="BB1381" s="41"/>
    </row>
    <row r="1382" ht="12.75">
      <c r="BB1382" s="41"/>
    </row>
    <row r="1383" ht="12.75">
      <c r="BB1383" s="41"/>
    </row>
    <row r="1384" ht="12.75">
      <c r="BB1384" s="41"/>
    </row>
    <row r="1385" ht="12.75">
      <c r="BB1385" s="41"/>
    </row>
    <row r="1386" ht="12.75">
      <c r="BB1386" s="41"/>
    </row>
    <row r="1387" ht="12.75">
      <c r="BB1387" s="41"/>
    </row>
    <row r="1388" ht="12.75">
      <c r="BB1388" s="41"/>
    </row>
    <row r="1389" ht="12.75">
      <c r="BB1389" s="41"/>
    </row>
    <row r="1390" ht="12.75">
      <c r="BB1390" s="41"/>
    </row>
    <row r="1391" ht="12.75">
      <c r="BB1391" s="41"/>
    </row>
    <row r="1392" ht="12.75">
      <c r="BB1392" s="41"/>
    </row>
    <row r="1393" ht="12.75">
      <c r="BB1393" s="41"/>
    </row>
    <row r="1394" ht="12.75">
      <c r="BB1394" s="41"/>
    </row>
    <row r="1395" ht="12.75">
      <c r="BB1395" s="41"/>
    </row>
    <row r="1396" ht="12.75">
      <c r="BB1396" s="41"/>
    </row>
    <row r="1397" ht="12.75">
      <c r="BB1397" s="41"/>
    </row>
    <row r="1398" ht="12.75">
      <c r="BB1398" s="41"/>
    </row>
    <row r="1399" ht="12.75">
      <c r="BB1399" s="41"/>
    </row>
    <row r="1400" ht="12.75">
      <c r="BB1400" s="41"/>
    </row>
    <row r="1401" ht="12.75">
      <c r="BB1401" s="41"/>
    </row>
    <row r="1402" ht="12.75">
      <c r="BB1402" s="41"/>
    </row>
    <row r="1403" ht="12.75">
      <c r="BB1403" s="41"/>
    </row>
    <row r="1404" ht="12.75">
      <c r="BB1404" s="41"/>
    </row>
    <row r="1405" ht="12.75">
      <c r="BB1405" s="41"/>
    </row>
    <row r="1406" ht="12.75">
      <c r="BB1406" s="41"/>
    </row>
    <row r="1407" ht="12.75">
      <c r="BB1407" s="41"/>
    </row>
    <row r="1408" ht="12.75">
      <c r="BB1408" s="41"/>
    </row>
    <row r="1409" ht="12.75">
      <c r="BB1409" s="41"/>
    </row>
    <row r="1410" ht="12.75">
      <c r="BB1410" s="41"/>
    </row>
    <row r="1411" ht="12.75">
      <c r="BB1411" s="41"/>
    </row>
    <row r="1412" ht="12.75">
      <c r="BB1412" s="41"/>
    </row>
    <row r="1413" ht="12.75">
      <c r="BB1413" s="41"/>
    </row>
    <row r="1414" ht="12.75">
      <c r="BB1414" s="41"/>
    </row>
    <row r="1415" ht="12.75">
      <c r="BB1415" s="41"/>
    </row>
    <row r="1416" ht="12.75">
      <c r="BB1416" s="41"/>
    </row>
    <row r="1417" ht="12.75">
      <c r="BB1417" s="41"/>
    </row>
    <row r="1418" ht="12.75">
      <c r="BB1418" s="41"/>
    </row>
    <row r="1419" ht="12.75">
      <c r="BB1419" s="41"/>
    </row>
    <row r="1420" ht="12.75">
      <c r="BB1420" s="41"/>
    </row>
    <row r="1421" ht="12.75">
      <c r="BB1421" s="41"/>
    </row>
    <row r="1422" ht="12.75">
      <c r="BB1422" s="41"/>
    </row>
    <row r="1423" ht="12.75">
      <c r="BB1423" s="41"/>
    </row>
    <row r="1424" ht="12.75">
      <c r="BB1424" s="41"/>
    </row>
    <row r="1425" ht="12.75">
      <c r="BB1425" s="41"/>
    </row>
    <row r="1426" ht="12.75">
      <c r="BB1426" s="41"/>
    </row>
    <row r="1427" ht="12.75">
      <c r="BB1427" s="41"/>
    </row>
    <row r="1428" ht="12.75">
      <c r="BB1428" s="41"/>
    </row>
    <row r="1429" ht="12.75">
      <c r="BB1429" s="41"/>
    </row>
    <row r="1430" ht="12.75">
      <c r="BB1430" s="41"/>
    </row>
    <row r="1431" ht="12.75">
      <c r="BB1431" s="41"/>
    </row>
    <row r="1432" ht="12.75">
      <c r="BB1432" s="41"/>
    </row>
    <row r="1433" ht="12.75">
      <c r="BB1433" s="41"/>
    </row>
    <row r="1434" ht="12.75">
      <c r="BB1434" s="41"/>
    </row>
    <row r="1435" ht="12.75">
      <c r="BB1435" s="41"/>
    </row>
    <row r="1436" ht="12.75">
      <c r="BB1436" s="41"/>
    </row>
    <row r="1437" ht="12.75">
      <c r="BB1437" s="41"/>
    </row>
    <row r="1438" ht="12.75">
      <c r="BB1438" s="41"/>
    </row>
    <row r="1439" ht="12.75">
      <c r="BB1439" s="41"/>
    </row>
    <row r="1440" ht="12.75">
      <c r="BB1440" s="41"/>
    </row>
    <row r="1441" ht="12.75">
      <c r="BB1441" s="41"/>
    </row>
    <row r="1442" ht="12.75">
      <c r="BB1442" s="41"/>
    </row>
    <row r="1443" ht="12.75">
      <c r="BB1443" s="41"/>
    </row>
    <row r="1444" ht="12.75">
      <c r="BB1444" s="41"/>
    </row>
    <row r="1445" ht="12.75">
      <c r="BB1445" s="41"/>
    </row>
    <row r="1446" ht="12.75">
      <c r="BB1446" s="41"/>
    </row>
    <row r="1447" ht="12.75">
      <c r="BB1447" s="41"/>
    </row>
    <row r="1448" ht="12.75">
      <c r="BB1448" s="41"/>
    </row>
    <row r="1449" ht="12.75">
      <c r="BB1449" s="41"/>
    </row>
    <row r="1450" ht="12.75">
      <c r="BB1450" s="41"/>
    </row>
    <row r="1451" ht="12.75">
      <c r="BB1451" s="41"/>
    </row>
    <row r="1452" ht="12.75">
      <c r="BB1452" s="41"/>
    </row>
    <row r="1453" ht="12.75">
      <c r="BB1453" s="41"/>
    </row>
    <row r="1454" ht="12.75">
      <c r="BB1454" s="41"/>
    </row>
    <row r="1455" ht="12.75">
      <c r="BB1455" s="41"/>
    </row>
    <row r="1456" ht="12.75">
      <c r="BB1456" s="41"/>
    </row>
    <row r="1457" ht="12.75">
      <c r="BB1457" s="41"/>
    </row>
    <row r="1458" ht="12.75">
      <c r="BB1458" s="41"/>
    </row>
    <row r="1459" ht="12.75">
      <c r="BB1459" s="41"/>
    </row>
    <row r="1460" ht="12.75">
      <c r="BB1460" s="41"/>
    </row>
    <row r="1461" ht="12.75">
      <c r="BB1461" s="41"/>
    </row>
    <row r="1462" ht="12.75">
      <c r="BB1462" s="41"/>
    </row>
    <row r="1463" ht="12.75">
      <c r="BB1463" s="41"/>
    </row>
    <row r="1464" ht="12.75">
      <c r="BB1464" s="41"/>
    </row>
    <row r="1465" ht="12.75">
      <c r="BB1465" s="41"/>
    </row>
    <row r="1466" ht="12.75">
      <c r="BB1466" s="41"/>
    </row>
    <row r="1467" ht="12.75">
      <c r="BB1467" s="41"/>
    </row>
    <row r="1468" ht="12.75">
      <c r="BB1468" s="41"/>
    </row>
    <row r="1469" ht="12.75">
      <c r="BB1469" s="41"/>
    </row>
    <row r="1470" ht="12.75">
      <c r="BB1470" s="41"/>
    </row>
    <row r="1471" ht="12.75">
      <c r="BB1471" s="41"/>
    </row>
    <row r="1472" ht="12.75">
      <c r="BB1472" s="41"/>
    </row>
    <row r="1473" ht="12.75">
      <c r="BB1473" s="41"/>
    </row>
    <row r="1474" ht="12.75">
      <c r="BB1474" s="41"/>
    </row>
    <row r="1475" ht="12.75">
      <c r="BB1475" s="41"/>
    </row>
    <row r="1476" ht="12.75">
      <c r="BB1476" s="41"/>
    </row>
    <row r="1477" ht="12.75">
      <c r="BB1477" s="41"/>
    </row>
    <row r="1478" ht="12.75">
      <c r="BB1478" s="41"/>
    </row>
    <row r="1479" ht="12.75">
      <c r="BB1479" s="41"/>
    </row>
    <row r="1480" ht="12.75">
      <c r="BB1480" s="41"/>
    </row>
    <row r="1481" ht="12.75">
      <c r="BB1481" s="41"/>
    </row>
    <row r="1482" ht="12.75">
      <c r="BB1482" s="41"/>
    </row>
    <row r="1483" ht="12.75">
      <c r="BB1483" s="41"/>
    </row>
    <row r="1484" ht="12.75">
      <c r="BB1484" s="41"/>
    </row>
    <row r="1485" ht="12.75">
      <c r="BB1485" s="41"/>
    </row>
    <row r="1486" ht="12.75">
      <c r="BB1486" s="41"/>
    </row>
    <row r="1487" ht="12.75">
      <c r="BB1487" s="41"/>
    </row>
    <row r="1488" ht="12.75">
      <c r="BB1488" s="41"/>
    </row>
    <row r="1489" ht="12.75">
      <c r="BB1489" s="41"/>
    </row>
    <row r="1490" ht="12.75">
      <c r="BB1490" s="41"/>
    </row>
    <row r="1491" ht="12.75">
      <c r="BB1491" s="41"/>
    </row>
    <row r="1492" ht="12.75">
      <c r="BB1492" s="41"/>
    </row>
    <row r="1493" ht="12.75">
      <c r="BB1493" s="41"/>
    </row>
    <row r="1494" ht="12.75">
      <c r="BB1494" s="41"/>
    </row>
    <row r="1495" ht="12.75">
      <c r="BB1495" s="41"/>
    </row>
    <row r="1496" ht="12.75">
      <c r="BB1496" s="41"/>
    </row>
    <row r="1497" ht="12.75">
      <c r="BB1497" s="41"/>
    </row>
    <row r="1498" ht="12.75">
      <c r="BB1498" s="41"/>
    </row>
    <row r="1499" ht="12.75">
      <c r="BB1499" s="41"/>
    </row>
    <row r="1500" ht="12.75">
      <c r="BB1500" s="41"/>
    </row>
    <row r="1501" ht="12.75">
      <c r="BB1501" s="41"/>
    </row>
    <row r="1502" ht="12.75">
      <c r="BB1502" s="41"/>
    </row>
    <row r="1503" ht="12.75">
      <c r="BB1503" s="41"/>
    </row>
    <row r="1504" ht="12.75">
      <c r="BB1504" s="41"/>
    </row>
    <row r="1505" ht="12.75">
      <c r="BB1505" s="41"/>
    </row>
    <row r="1506" ht="12.75">
      <c r="BB1506" s="41"/>
    </row>
    <row r="1507" ht="12.75">
      <c r="BB1507" s="41"/>
    </row>
    <row r="1508" ht="12.75">
      <c r="BB1508" s="41"/>
    </row>
    <row r="1509" ht="12.75">
      <c r="BB1509" s="41"/>
    </row>
    <row r="1510" ht="12.75">
      <c r="BB1510" s="41"/>
    </row>
    <row r="1511" ht="12.75">
      <c r="BB1511" s="41"/>
    </row>
    <row r="1512" ht="12.75">
      <c r="BB1512" s="41"/>
    </row>
    <row r="1513" ht="12.75">
      <c r="BB1513" s="41"/>
    </row>
    <row r="1514" ht="12.75">
      <c r="BB1514" s="41"/>
    </row>
    <row r="1515" ht="12.75">
      <c r="BB1515" s="41"/>
    </row>
    <row r="1516" ht="12.75">
      <c r="BB1516" s="41"/>
    </row>
    <row r="1517" ht="12.75">
      <c r="BB1517" s="41"/>
    </row>
    <row r="1518" ht="12.75">
      <c r="BB1518" s="41"/>
    </row>
    <row r="1519" ht="12.75">
      <c r="BB1519" s="41"/>
    </row>
    <row r="1520" ht="12.75">
      <c r="BB1520" s="41"/>
    </row>
    <row r="1521" ht="12.75">
      <c r="BB1521" s="41"/>
    </row>
    <row r="1522" ht="12.75">
      <c r="BB1522" s="41"/>
    </row>
    <row r="1523" ht="12.75">
      <c r="BB1523" s="41"/>
    </row>
    <row r="1524" ht="12.75">
      <c r="BB1524" s="41"/>
    </row>
    <row r="1525" ht="12.75">
      <c r="BB1525" s="41"/>
    </row>
    <row r="1526" ht="12.75">
      <c r="BB1526" s="41"/>
    </row>
    <row r="1527" ht="12.75">
      <c r="BB1527" s="41"/>
    </row>
    <row r="1528" ht="12.75">
      <c r="BB1528" s="41"/>
    </row>
    <row r="1529" ht="12.75">
      <c r="BB1529" s="41"/>
    </row>
    <row r="1530" ht="12.75">
      <c r="BB1530" s="41"/>
    </row>
    <row r="1531" ht="12.75">
      <c r="BB1531" s="41"/>
    </row>
    <row r="1532" ht="12.75">
      <c r="BB1532" s="41"/>
    </row>
    <row r="1533" ht="12.75">
      <c r="BB1533" s="41"/>
    </row>
    <row r="1534" ht="12.75">
      <c r="BB1534" s="41"/>
    </row>
    <row r="1535" ht="12.75">
      <c r="BB1535" s="41"/>
    </row>
    <row r="1536" ht="12.75">
      <c r="BB1536" s="41"/>
    </row>
    <row r="1537" ht="12.75">
      <c r="BB1537" s="41"/>
    </row>
    <row r="1538" ht="12.75">
      <c r="BB1538" s="41"/>
    </row>
    <row r="1539" ht="12.75">
      <c r="BB1539" s="41"/>
    </row>
    <row r="1540" ht="12.75">
      <c r="BB1540" s="41"/>
    </row>
    <row r="1541" ht="12.75">
      <c r="BB1541" s="41"/>
    </row>
    <row r="1542" ht="12.75">
      <c r="BB1542" s="41"/>
    </row>
    <row r="1543" ht="12.75">
      <c r="BB1543" s="41"/>
    </row>
    <row r="1544" ht="12.75">
      <c r="BB1544" s="41"/>
    </row>
    <row r="1545" ht="12.75">
      <c r="BB1545" s="41"/>
    </row>
    <row r="1546" ht="12.75">
      <c r="BB1546" s="41"/>
    </row>
    <row r="1547" ht="12.75">
      <c r="BB1547" s="41"/>
    </row>
    <row r="1548" ht="12.75">
      <c r="BB1548" s="41"/>
    </row>
    <row r="1549" ht="12.75">
      <c r="BB1549" s="41"/>
    </row>
    <row r="1550" ht="12.75">
      <c r="BB1550" s="41"/>
    </row>
    <row r="1551" ht="12.75">
      <c r="BB1551" s="41"/>
    </row>
    <row r="1552" ht="12.75">
      <c r="BB1552" s="41"/>
    </row>
    <row r="1553" ht="12.75">
      <c r="BB1553" s="41"/>
    </row>
    <row r="1554" ht="12.75">
      <c r="BB1554" s="41"/>
    </row>
    <row r="1555" ht="12.75">
      <c r="BB1555" s="41"/>
    </row>
    <row r="1556" ht="12.75">
      <c r="BB1556" s="41"/>
    </row>
    <row r="1557" ht="12.75">
      <c r="BB1557" s="41"/>
    </row>
    <row r="1558" ht="12.75">
      <c r="BB1558" s="41"/>
    </row>
    <row r="1559" ht="12.75">
      <c r="BB1559" s="41"/>
    </row>
    <row r="1560" ht="12.75">
      <c r="BB1560" s="41"/>
    </row>
    <row r="1561" ht="12.75">
      <c r="BB1561" s="41"/>
    </row>
    <row r="1562" ht="12.75">
      <c r="BB1562" s="41"/>
    </row>
    <row r="1563" ht="12.75">
      <c r="BB1563" s="41"/>
    </row>
    <row r="1564" ht="12.75">
      <c r="BB1564" s="41"/>
    </row>
    <row r="1565" ht="12.75">
      <c r="BB1565" s="41"/>
    </row>
    <row r="1566" ht="12.75">
      <c r="BB1566" s="41"/>
    </row>
    <row r="1567" ht="12.75">
      <c r="BB1567" s="41"/>
    </row>
    <row r="1568" ht="12.75">
      <c r="BB1568" s="41"/>
    </row>
    <row r="1569" ht="12.75">
      <c r="BB1569" s="41"/>
    </row>
    <row r="1570" ht="12.75">
      <c r="BB1570" s="41"/>
    </row>
    <row r="1571" ht="12.75">
      <c r="BB1571" s="41"/>
    </row>
    <row r="1572" ht="12.75">
      <c r="BB1572" s="41"/>
    </row>
    <row r="1573" ht="12.75">
      <c r="BB1573" s="41"/>
    </row>
    <row r="1574" ht="12.75">
      <c r="BB1574" s="41"/>
    </row>
    <row r="1575" ht="12.75">
      <c r="BB1575" s="41"/>
    </row>
    <row r="1576" ht="12.75">
      <c r="BB1576" s="41"/>
    </row>
    <row r="1577" ht="12.75">
      <c r="BB1577" s="41"/>
    </row>
    <row r="1578" ht="12.75">
      <c r="BB1578" s="41"/>
    </row>
    <row r="1579" ht="12.75">
      <c r="BB1579" s="41"/>
    </row>
    <row r="1580" ht="12.75">
      <c r="BB1580" s="41"/>
    </row>
    <row r="1581" ht="12.75">
      <c r="BB1581" s="41"/>
    </row>
    <row r="1582" ht="12.75">
      <c r="BB1582" s="41"/>
    </row>
    <row r="1583" ht="12.75">
      <c r="BB1583" s="41"/>
    </row>
    <row r="1584" ht="12.75">
      <c r="BB1584" s="41"/>
    </row>
    <row r="1585" ht="12.75">
      <c r="BB1585" s="41"/>
    </row>
    <row r="1586" ht="12.75">
      <c r="BB1586" s="41"/>
    </row>
    <row r="1587" ht="12.75">
      <c r="BB1587" s="41"/>
    </row>
    <row r="1588" ht="12.75">
      <c r="BB1588" s="41"/>
    </row>
    <row r="1589" ht="12.75">
      <c r="BB1589" s="41"/>
    </row>
    <row r="1590" ht="12.75">
      <c r="BB1590" s="41"/>
    </row>
    <row r="1591" ht="12.75">
      <c r="BB1591" s="41"/>
    </row>
    <row r="1592" ht="12.75">
      <c r="BB1592" s="41"/>
    </row>
    <row r="1593" ht="12.75">
      <c r="BB1593" s="41"/>
    </row>
    <row r="1594" ht="12.75">
      <c r="BB1594" s="41"/>
    </row>
    <row r="1595" ht="12.75">
      <c r="BB1595" s="41"/>
    </row>
    <row r="1596" ht="12.75">
      <c r="BB1596" s="41"/>
    </row>
    <row r="1597" ht="12.75">
      <c r="BB1597" s="41"/>
    </row>
    <row r="1598" ht="12.75">
      <c r="BB1598" s="41"/>
    </row>
    <row r="1599" ht="12.75">
      <c r="BB1599" s="41"/>
    </row>
    <row r="1600" ht="12.75">
      <c r="BB1600" s="41"/>
    </row>
    <row r="1601" ht="12.75">
      <c r="BB1601" s="41"/>
    </row>
    <row r="1602" ht="12.75">
      <c r="BB1602" s="41"/>
    </row>
    <row r="1603" ht="12.75">
      <c r="BB1603" s="41"/>
    </row>
    <row r="1604" ht="12.75">
      <c r="BB1604" s="41"/>
    </row>
    <row r="1605" ht="12.75">
      <c r="BB1605" s="41"/>
    </row>
    <row r="1606" ht="12.75">
      <c r="BB1606" s="41"/>
    </row>
    <row r="1607" ht="12.75">
      <c r="BB1607" s="41"/>
    </row>
    <row r="1608" ht="12.75">
      <c r="BB1608" s="41"/>
    </row>
    <row r="1609" ht="12.75">
      <c r="BB1609" s="41"/>
    </row>
    <row r="1610" ht="12.75">
      <c r="BB1610" s="41"/>
    </row>
    <row r="1611" ht="12.75">
      <c r="BB1611" s="41"/>
    </row>
    <row r="1612" ht="12.75">
      <c r="BB1612" s="41"/>
    </row>
    <row r="1613" ht="12.75">
      <c r="BB1613" s="41"/>
    </row>
    <row r="1614" ht="12.75">
      <c r="BB1614" s="41"/>
    </row>
    <row r="1615" ht="12.75">
      <c r="BB1615" s="41"/>
    </row>
    <row r="1616" ht="12.75">
      <c r="BB1616" s="41"/>
    </row>
    <row r="1617" ht="12.75">
      <c r="BB1617" s="41"/>
    </row>
    <row r="1618" ht="12.75">
      <c r="BB1618" s="41"/>
    </row>
    <row r="1619" ht="12.75">
      <c r="BB1619" s="41"/>
    </row>
    <row r="1620" ht="12.75">
      <c r="BB1620" s="41"/>
    </row>
    <row r="1621" ht="12.75">
      <c r="BB1621" s="41"/>
    </row>
    <row r="1622" ht="12.75">
      <c r="BB1622" s="41"/>
    </row>
    <row r="1623" ht="12.75">
      <c r="BB1623" s="41"/>
    </row>
    <row r="1624" ht="12.75">
      <c r="BB1624" s="41"/>
    </row>
    <row r="1625" ht="12.75">
      <c r="BB1625" s="41"/>
    </row>
    <row r="1626" ht="12.75">
      <c r="BB1626" s="41"/>
    </row>
    <row r="1627" ht="12.75">
      <c r="BB1627" s="41"/>
    </row>
    <row r="1628" ht="12.75">
      <c r="BB1628" s="41"/>
    </row>
    <row r="1629" ht="12.75">
      <c r="BB1629" s="41"/>
    </row>
    <row r="1630" ht="12.75">
      <c r="BB1630" s="41"/>
    </row>
    <row r="1631" ht="12.75">
      <c r="BB1631" s="41"/>
    </row>
    <row r="1632" ht="12.75">
      <c r="BB1632" s="41"/>
    </row>
    <row r="1633" ht="12.75">
      <c r="BB1633" s="41"/>
    </row>
    <row r="1634" ht="12.75">
      <c r="BB1634" s="41"/>
    </row>
    <row r="1635" ht="12.75">
      <c r="BB1635" s="41"/>
    </row>
    <row r="1636" ht="12.75">
      <c r="BB1636" s="41"/>
    </row>
    <row r="1637" ht="12.75">
      <c r="BB1637" s="41"/>
    </row>
    <row r="1638" ht="12.75">
      <c r="BB1638" s="41"/>
    </row>
    <row r="1639" ht="12.75">
      <c r="BB1639" s="41"/>
    </row>
    <row r="1640" ht="12.75">
      <c r="BB1640" s="41"/>
    </row>
    <row r="1641" ht="12.75">
      <c r="BB1641" s="41"/>
    </row>
    <row r="1642" ht="12.75">
      <c r="BB1642" s="41"/>
    </row>
    <row r="1643" ht="12.75">
      <c r="BB1643" s="41"/>
    </row>
    <row r="1644" ht="12.75">
      <c r="BB1644" s="41"/>
    </row>
    <row r="1645" ht="12.75">
      <c r="BB1645" s="41"/>
    </row>
    <row r="1646" ht="12.75">
      <c r="BB1646" s="41"/>
    </row>
    <row r="1647" ht="12.75">
      <c r="BB1647" s="41"/>
    </row>
    <row r="1648" ht="12.75">
      <c r="BB1648" s="41"/>
    </row>
    <row r="1649" ht="12.75">
      <c r="BB1649" s="41"/>
    </row>
    <row r="1650" ht="12.75">
      <c r="BB1650" s="41"/>
    </row>
    <row r="1651" ht="12.75">
      <c r="BB1651" s="41"/>
    </row>
    <row r="1652" ht="12.75">
      <c r="BB1652" s="41"/>
    </row>
    <row r="1653" ht="12.75">
      <c r="BB1653" s="41"/>
    </row>
    <row r="1654" ht="12.75">
      <c r="BB1654" s="41"/>
    </row>
    <row r="1655" ht="12.75">
      <c r="BB1655" s="41"/>
    </row>
    <row r="1656" ht="12.75">
      <c r="BB1656" s="41"/>
    </row>
    <row r="1657" ht="12.75">
      <c r="BB1657" s="41"/>
    </row>
    <row r="1658" ht="12.75">
      <c r="BB1658" s="41"/>
    </row>
    <row r="1659" ht="12.75">
      <c r="BB1659" s="41"/>
    </row>
    <row r="1660" ht="12.75">
      <c r="BB1660" s="41"/>
    </row>
    <row r="1661" ht="12.75">
      <c r="BB1661" s="41"/>
    </row>
    <row r="1662" ht="12.75">
      <c r="BB1662" s="41"/>
    </row>
    <row r="1663" ht="12.75">
      <c r="BB1663" s="41"/>
    </row>
    <row r="1664" ht="12.75">
      <c r="BB1664" s="41"/>
    </row>
    <row r="1665" ht="12.75">
      <c r="BB1665" s="41"/>
    </row>
    <row r="1666" ht="12.75">
      <c r="BB1666" s="41"/>
    </row>
    <row r="1667" ht="12.75">
      <c r="BB1667" s="41"/>
    </row>
    <row r="1668" ht="12.75">
      <c r="BB1668" s="41"/>
    </row>
    <row r="1669" ht="12.75">
      <c r="BB1669" s="41"/>
    </row>
    <row r="1670" ht="12.75">
      <c r="BB1670" s="41"/>
    </row>
    <row r="1671" ht="12.75">
      <c r="BB1671" s="41"/>
    </row>
    <row r="1672" ht="12.75">
      <c r="BB1672" s="41"/>
    </row>
    <row r="1673" ht="12.75">
      <c r="BB1673" s="41"/>
    </row>
    <row r="1674" ht="12.75">
      <c r="BB1674" s="41"/>
    </row>
    <row r="1675" ht="12.75">
      <c r="BB1675" s="41"/>
    </row>
    <row r="1676" ht="12.75">
      <c r="BB1676" s="41"/>
    </row>
    <row r="1677" ht="12.75">
      <c r="BB1677" s="41"/>
    </row>
    <row r="1678" ht="12.75">
      <c r="BB1678" s="41"/>
    </row>
    <row r="1679" ht="12.75">
      <c r="BB1679" s="41"/>
    </row>
    <row r="1680" ht="12.75">
      <c r="BB1680" s="41"/>
    </row>
    <row r="1681" ht="12.75">
      <c r="BB1681" s="41"/>
    </row>
    <row r="1682" ht="12.75">
      <c r="BB1682" s="41"/>
    </row>
    <row r="1683" ht="12.75">
      <c r="BB1683" s="41"/>
    </row>
    <row r="1684" ht="12.75">
      <c r="BB1684" s="41"/>
    </row>
    <row r="1685" ht="12.75">
      <c r="BB1685" s="41"/>
    </row>
    <row r="1686" ht="12.75">
      <c r="BB1686" s="41"/>
    </row>
    <row r="1687" ht="12.75">
      <c r="BB1687" s="41"/>
    </row>
    <row r="1688" ht="12.75">
      <c r="BB1688" s="41"/>
    </row>
    <row r="1689" ht="12.75">
      <c r="BB1689" s="41"/>
    </row>
    <row r="1690" ht="12.75">
      <c r="BB1690" s="41"/>
    </row>
    <row r="1691" ht="12.75">
      <c r="BB1691" s="41"/>
    </row>
    <row r="1692" ht="12.75">
      <c r="BB1692" s="41"/>
    </row>
    <row r="1693" ht="12.75">
      <c r="BB1693" s="41"/>
    </row>
    <row r="1694" ht="12.75">
      <c r="BB1694" s="41"/>
    </row>
    <row r="1695" ht="12.75">
      <c r="BB1695" s="41"/>
    </row>
    <row r="1696" ht="12.75">
      <c r="BB1696" s="41"/>
    </row>
    <row r="1697" ht="12.75">
      <c r="BB1697" s="41"/>
    </row>
    <row r="1698" ht="12.75">
      <c r="BB1698" s="41"/>
    </row>
    <row r="1699" ht="12.75">
      <c r="BB1699" s="41"/>
    </row>
    <row r="1700" ht="12.75">
      <c r="BB1700" s="41"/>
    </row>
    <row r="1701" ht="12.75">
      <c r="BB1701" s="41"/>
    </row>
    <row r="1702" ht="12.75">
      <c r="BB1702" s="41"/>
    </row>
    <row r="1703" ht="12.75">
      <c r="BB1703" s="41"/>
    </row>
    <row r="1704" ht="12.75">
      <c r="BB1704" s="41"/>
    </row>
    <row r="1705" ht="12.75">
      <c r="BB1705" s="41"/>
    </row>
    <row r="1706" ht="12.75">
      <c r="BB1706" s="41"/>
    </row>
    <row r="1707" ht="12.75">
      <c r="BB1707" s="41"/>
    </row>
    <row r="1708" ht="12.75">
      <c r="BB1708" s="41"/>
    </row>
    <row r="1709" ht="12.75">
      <c r="BB1709" s="41"/>
    </row>
    <row r="1710" ht="12.75">
      <c r="BB1710" s="41"/>
    </row>
    <row r="1711" ht="12.75">
      <c r="BB1711" s="41"/>
    </row>
    <row r="1712" ht="12.75">
      <c r="BB1712" s="41"/>
    </row>
    <row r="1713" ht="12.75">
      <c r="BB1713" s="41"/>
    </row>
    <row r="1714" ht="12.75">
      <c r="BB1714" s="41"/>
    </row>
    <row r="1715" ht="12.75">
      <c r="BB1715" s="41"/>
    </row>
    <row r="1716" ht="12.75">
      <c r="BB1716" s="41"/>
    </row>
    <row r="1717" ht="12.75">
      <c r="BB1717" s="41"/>
    </row>
    <row r="1718" ht="12.75">
      <c r="BB1718" s="41"/>
    </row>
    <row r="1719" ht="12.75">
      <c r="BB1719" s="41"/>
    </row>
    <row r="1720" ht="12.75">
      <c r="BB1720" s="41"/>
    </row>
    <row r="1721" ht="12.75">
      <c r="BB1721" s="41"/>
    </row>
    <row r="1722" ht="12.75">
      <c r="BB1722" s="41"/>
    </row>
    <row r="1723" ht="12.75">
      <c r="BB1723" s="41"/>
    </row>
    <row r="1724" ht="12.75">
      <c r="BB1724" s="41"/>
    </row>
    <row r="1725" ht="12.75">
      <c r="BB1725" s="41"/>
    </row>
    <row r="1726" ht="12.75">
      <c r="BB1726" s="41"/>
    </row>
    <row r="1727" ht="12.75">
      <c r="BB1727" s="41"/>
    </row>
    <row r="1728" ht="12.75">
      <c r="BB1728" s="41"/>
    </row>
    <row r="1729" ht="12.75">
      <c r="BB1729" s="41"/>
    </row>
    <row r="1730" ht="12.75">
      <c r="BB1730" s="41"/>
    </row>
    <row r="1731" ht="12.75">
      <c r="BB1731" s="41"/>
    </row>
    <row r="1732" ht="12.75">
      <c r="BB1732" s="41"/>
    </row>
    <row r="1733" ht="12.75">
      <c r="BB1733" s="41"/>
    </row>
    <row r="1734" ht="12.75">
      <c r="BB1734" s="41"/>
    </row>
    <row r="1735" ht="12.75">
      <c r="BB1735" s="41"/>
    </row>
    <row r="1736" ht="12.75">
      <c r="BB1736" s="41"/>
    </row>
    <row r="1737" ht="12.75">
      <c r="BB1737" s="41"/>
    </row>
    <row r="1738" ht="12.75">
      <c r="BB1738" s="41"/>
    </row>
    <row r="1739" ht="12.75">
      <c r="BB1739" s="41"/>
    </row>
    <row r="1740" ht="12.75">
      <c r="BB1740" s="41"/>
    </row>
    <row r="1741" ht="12.75">
      <c r="BB1741" s="41"/>
    </row>
    <row r="1742" ht="12.75">
      <c r="BB1742" s="41"/>
    </row>
    <row r="1743" ht="12.75">
      <c r="BB1743" s="41"/>
    </row>
    <row r="1744" ht="12.75">
      <c r="BB1744" s="41"/>
    </row>
    <row r="1745" ht="12.75">
      <c r="BB1745" s="41"/>
    </row>
    <row r="1746" ht="12.75">
      <c r="BB1746" s="41"/>
    </row>
    <row r="1747" ht="12.75">
      <c r="BB1747" s="41"/>
    </row>
    <row r="1748" ht="12.75">
      <c r="BB1748" s="41"/>
    </row>
    <row r="1749" ht="12.75">
      <c r="BB1749" s="41"/>
    </row>
    <row r="1750" ht="12.75">
      <c r="BB1750" s="41"/>
    </row>
    <row r="1751" ht="12.75">
      <c r="BB1751" s="41"/>
    </row>
    <row r="1752" ht="12.75">
      <c r="BB1752" s="41"/>
    </row>
    <row r="1753" ht="12.75">
      <c r="BB1753" s="41"/>
    </row>
    <row r="1754" ht="12.75">
      <c r="BB1754" s="41"/>
    </row>
    <row r="1755" ht="12.75">
      <c r="BB1755" s="41"/>
    </row>
    <row r="1756" ht="12.75">
      <c r="BB1756" s="41"/>
    </row>
    <row r="1757" ht="12.75">
      <c r="BB1757" s="41"/>
    </row>
    <row r="1758" ht="12.75">
      <c r="BB1758" s="41"/>
    </row>
    <row r="1759" ht="12.75">
      <c r="BB1759" s="41"/>
    </row>
    <row r="1760" ht="12.75">
      <c r="BB1760" s="41"/>
    </row>
    <row r="1761" ht="12.75">
      <c r="BB1761" s="41"/>
    </row>
    <row r="1762" ht="12.75">
      <c r="BB1762" s="41"/>
    </row>
    <row r="1763" ht="12.75">
      <c r="BB1763" s="41"/>
    </row>
    <row r="1764" ht="12.75">
      <c r="BB1764" s="41"/>
    </row>
    <row r="1765" ht="12.75">
      <c r="BB1765" s="41"/>
    </row>
    <row r="1766" ht="12.75">
      <c r="BB1766" s="41"/>
    </row>
    <row r="1767" ht="12.75">
      <c r="BB1767" s="41"/>
    </row>
    <row r="1768" ht="12.75">
      <c r="BB1768" s="41"/>
    </row>
    <row r="1769" ht="12.75">
      <c r="BB1769" s="41"/>
    </row>
    <row r="1770" ht="12.75">
      <c r="BB1770" s="41"/>
    </row>
    <row r="1771" ht="12.75">
      <c r="BB1771" s="41"/>
    </row>
    <row r="1772" ht="12.75">
      <c r="BB1772" s="41"/>
    </row>
    <row r="1773" ht="12.75">
      <c r="BB1773" s="41"/>
    </row>
    <row r="1774" ht="12.75">
      <c r="BB1774" s="41"/>
    </row>
    <row r="1775" ht="12.75">
      <c r="BB1775" s="41"/>
    </row>
    <row r="1776" ht="12.75">
      <c r="BB1776" s="41"/>
    </row>
    <row r="1777" ht="12.75">
      <c r="BB1777" s="41"/>
    </row>
    <row r="1778" ht="12.75">
      <c r="BB1778" s="41"/>
    </row>
    <row r="1779" ht="12.75">
      <c r="BB1779" s="41"/>
    </row>
    <row r="1780" ht="12.75">
      <c r="BB1780" s="41"/>
    </row>
    <row r="1781" ht="12.75">
      <c r="BB1781" s="41"/>
    </row>
    <row r="1782" ht="12.75">
      <c r="BB1782" s="41"/>
    </row>
    <row r="1783" ht="12.75">
      <c r="BB1783" s="41"/>
    </row>
    <row r="1784" ht="12.75">
      <c r="BB1784" s="41"/>
    </row>
    <row r="1785" ht="12.75">
      <c r="BB1785" s="41"/>
    </row>
    <row r="1786" ht="12.75">
      <c r="BB1786" s="41"/>
    </row>
    <row r="1787" ht="12.75">
      <c r="BB1787" s="41"/>
    </row>
    <row r="1788" ht="12.75">
      <c r="BB1788" s="41"/>
    </row>
    <row r="1789" ht="12.75">
      <c r="BB1789" s="41"/>
    </row>
    <row r="1790" ht="12.75">
      <c r="BB1790" s="41"/>
    </row>
    <row r="1791" ht="12.75">
      <c r="BB1791" s="41"/>
    </row>
    <row r="1792" ht="12.75">
      <c r="BB1792" s="41"/>
    </row>
    <row r="1793" ht="12.75">
      <c r="BB1793" s="41"/>
    </row>
    <row r="1794" ht="12.75">
      <c r="BB1794" s="41"/>
    </row>
    <row r="1795" ht="12.75">
      <c r="BB1795" s="41"/>
    </row>
    <row r="1796" ht="12.75">
      <c r="BB1796" s="41"/>
    </row>
    <row r="1797" ht="12.75">
      <c r="BB1797" s="41"/>
    </row>
    <row r="1798" ht="12.75">
      <c r="BB1798" s="41"/>
    </row>
    <row r="1799" ht="12.75">
      <c r="BB1799" s="41"/>
    </row>
    <row r="1800" ht="12.75">
      <c r="BB1800" s="41"/>
    </row>
    <row r="1801" ht="12.75">
      <c r="BB1801" s="41"/>
    </row>
    <row r="1802" ht="12.75">
      <c r="BB1802" s="41"/>
    </row>
    <row r="1803" ht="12.75">
      <c r="BB1803" s="41"/>
    </row>
    <row r="1804" ht="12.75">
      <c r="BB1804" s="41"/>
    </row>
    <row r="1805" ht="12.75">
      <c r="BB1805" s="41"/>
    </row>
    <row r="1806" ht="12.75">
      <c r="BB1806" s="41"/>
    </row>
    <row r="1807" ht="12.75">
      <c r="BB1807" s="41"/>
    </row>
    <row r="1808" ht="12.75">
      <c r="BB1808" s="41"/>
    </row>
    <row r="1809" ht="12.75">
      <c r="BB1809" s="41"/>
    </row>
    <row r="1810" ht="12.75">
      <c r="BB1810" s="41"/>
    </row>
    <row r="1811" ht="12.75">
      <c r="BB1811" s="41"/>
    </row>
    <row r="1812" ht="12.75">
      <c r="BB1812" s="41"/>
    </row>
    <row r="1813" ht="12.75">
      <c r="BB1813" s="41"/>
    </row>
    <row r="1814" ht="12.75">
      <c r="BB1814" s="41"/>
    </row>
    <row r="1815" ht="12.75">
      <c r="BB1815" s="41"/>
    </row>
    <row r="1816" ht="12.75">
      <c r="BB1816" s="41"/>
    </row>
    <row r="1817" ht="12.75">
      <c r="BB1817" s="41"/>
    </row>
    <row r="1818" ht="12.75">
      <c r="BB1818" s="41"/>
    </row>
    <row r="1819" ht="12.75">
      <c r="BB1819" s="41"/>
    </row>
    <row r="1820" ht="12.75">
      <c r="BB1820" s="41"/>
    </row>
    <row r="1821" ht="12.75">
      <c r="BB1821" s="41"/>
    </row>
    <row r="1822" ht="12.75">
      <c r="BB1822" s="41"/>
    </row>
    <row r="1823" ht="12.75">
      <c r="BB1823" s="41"/>
    </row>
    <row r="1824" ht="12.75">
      <c r="BB1824" s="41"/>
    </row>
    <row r="1825" ht="12.75">
      <c r="BB1825" s="41"/>
    </row>
    <row r="1826" ht="12.75">
      <c r="BB1826" s="41"/>
    </row>
    <row r="1827" ht="12.75">
      <c r="BB1827" s="41"/>
    </row>
    <row r="1828" ht="12.75">
      <c r="BB1828" s="41"/>
    </row>
    <row r="1829" ht="12.75">
      <c r="BB1829" s="41"/>
    </row>
    <row r="1830" ht="12.75">
      <c r="BB1830" s="41"/>
    </row>
    <row r="1831" ht="12.75">
      <c r="BB1831" s="41"/>
    </row>
    <row r="1832" ht="12.75">
      <c r="BB1832" s="41"/>
    </row>
    <row r="1833" ht="12.75">
      <c r="BB1833" s="41"/>
    </row>
    <row r="1834" ht="12.75">
      <c r="BB1834" s="41"/>
    </row>
    <row r="1835" ht="12.75">
      <c r="BB1835" s="41"/>
    </row>
    <row r="1836" ht="12.75">
      <c r="BB1836" s="41"/>
    </row>
    <row r="1837" ht="12.75">
      <c r="BB1837" s="41"/>
    </row>
    <row r="1838" ht="12.75">
      <c r="BB1838" s="41"/>
    </row>
    <row r="1839" ht="12.75">
      <c r="BB1839" s="41"/>
    </row>
    <row r="1840" ht="12.75">
      <c r="BB1840" s="41"/>
    </row>
    <row r="1841" ht="12.75">
      <c r="BB1841" s="41"/>
    </row>
    <row r="1842" ht="12.75">
      <c r="BB1842" s="41"/>
    </row>
    <row r="1843" ht="12.75">
      <c r="BB1843" s="41"/>
    </row>
    <row r="1844" ht="12.75">
      <c r="BB1844" s="41"/>
    </row>
    <row r="1845" ht="12.75">
      <c r="BB1845" s="41"/>
    </row>
    <row r="1846" ht="12.75">
      <c r="BB1846" s="41"/>
    </row>
    <row r="1847" ht="12.75">
      <c r="BB1847" s="41"/>
    </row>
    <row r="1848" ht="12.75">
      <c r="BB1848" s="41"/>
    </row>
    <row r="1849" ht="12.75">
      <c r="BB1849" s="41"/>
    </row>
    <row r="1850" ht="12.75">
      <c r="BB1850" s="41"/>
    </row>
    <row r="1851" ht="12.75">
      <c r="BB1851" s="41"/>
    </row>
    <row r="1852" ht="12.75">
      <c r="BB1852" s="41"/>
    </row>
    <row r="1853" ht="12.75">
      <c r="BB1853" s="41"/>
    </row>
    <row r="1854" ht="12.75">
      <c r="BB1854" s="41"/>
    </row>
    <row r="1855" ht="12.75">
      <c r="BB1855" s="41"/>
    </row>
    <row r="1856" ht="12.75">
      <c r="BB1856" s="41"/>
    </row>
    <row r="1857" ht="12.75">
      <c r="BB1857" s="41"/>
    </row>
    <row r="1858" ht="12.75">
      <c r="BB1858" s="41"/>
    </row>
    <row r="1859" ht="12.75">
      <c r="BB1859" s="41"/>
    </row>
    <row r="1860" ht="12.75">
      <c r="BB1860" s="41"/>
    </row>
    <row r="1861" ht="12.75">
      <c r="BB1861" s="41"/>
    </row>
    <row r="1862" ht="12.75">
      <c r="BB1862" s="41"/>
    </row>
    <row r="1863" ht="12.75">
      <c r="BB1863" s="41"/>
    </row>
    <row r="1864" ht="12.75">
      <c r="BB1864" s="41"/>
    </row>
    <row r="1865" ht="12.75">
      <c r="BB1865" s="41"/>
    </row>
    <row r="1866" ht="12.75">
      <c r="BB1866" s="41"/>
    </row>
    <row r="1867" ht="12.75">
      <c r="BB1867" s="41"/>
    </row>
    <row r="1868" ht="12.75">
      <c r="BB1868" s="41"/>
    </row>
    <row r="1869" ht="12.75">
      <c r="BB1869" s="41"/>
    </row>
    <row r="1870" ht="12.75">
      <c r="BB1870" s="41"/>
    </row>
    <row r="1871" ht="12.75">
      <c r="BB1871" s="41"/>
    </row>
    <row r="1872" ht="12.75">
      <c r="BB1872" s="4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 topLeftCell="A1">
      <selection activeCell="L6" sqref="L6"/>
    </sheetView>
  </sheetViews>
  <sheetFormatPr defaultColWidth="11.421875" defaultRowHeight="12.75"/>
  <cols>
    <col min="1" max="1" width="12.57421875" style="0" customWidth="1"/>
    <col min="2" max="16384" width="9.140625" style="0" customWidth="1"/>
  </cols>
  <sheetData>
    <row r="1" spans="1:2" ht="12.75">
      <c r="A1" s="43"/>
      <c r="B1" t="s">
        <v>106</v>
      </c>
    </row>
    <row r="2" spans="1:2" ht="12.75">
      <c r="A2" s="45"/>
      <c r="B2" t="s">
        <v>226</v>
      </c>
    </row>
    <row r="3" spans="1:2" ht="12.75">
      <c r="A3" s="61"/>
      <c r="B3" t="s">
        <v>108</v>
      </c>
    </row>
    <row r="4" spans="1:2" ht="12.75">
      <c r="A4" s="47"/>
      <c r="B4" t="s">
        <v>78</v>
      </c>
    </row>
    <row r="5" spans="1:2" ht="12.75">
      <c r="A5" s="48"/>
      <c r="B5" t="s">
        <v>79</v>
      </c>
    </row>
    <row r="6" spans="1:2" ht="12.75">
      <c r="A6" s="46"/>
      <c r="B6" t="s">
        <v>80</v>
      </c>
    </row>
    <row r="7" spans="1:2" ht="12.75">
      <c r="A7" s="71"/>
      <c r="B7" t="s">
        <v>197</v>
      </c>
    </row>
    <row r="8" spans="1:2" ht="12.75">
      <c r="A8" s="49"/>
      <c r="B8" t="s">
        <v>81</v>
      </c>
    </row>
    <row r="9" spans="1:2" ht="12.75">
      <c r="A9" s="44"/>
      <c r="B9" t="s">
        <v>83</v>
      </c>
    </row>
    <row r="10" ht="12.75">
      <c r="B10" t="s">
        <v>97</v>
      </c>
    </row>
    <row r="11" ht="12.75">
      <c r="A11" t="s">
        <v>82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133</v>
      </c>
    </row>
    <row r="19" ht="12.75">
      <c r="A19" t="s">
        <v>132</v>
      </c>
    </row>
    <row r="20" ht="12.75">
      <c r="A20" t="s">
        <v>157</v>
      </c>
    </row>
    <row r="21" ht="12.75">
      <c r="A21" t="s">
        <v>158</v>
      </c>
    </row>
    <row r="22" ht="12.75">
      <c r="A22" s="65" t="s">
        <v>159</v>
      </c>
    </row>
    <row r="23" ht="12.75">
      <c r="A23" s="65" t="s">
        <v>160</v>
      </c>
    </row>
    <row r="24" ht="12.75">
      <c r="A24" s="65" t="s">
        <v>161</v>
      </c>
    </row>
    <row r="25" ht="12.75">
      <c r="A25" t="s">
        <v>162</v>
      </c>
    </row>
    <row r="26" ht="12.75">
      <c r="A26" t="s">
        <v>163</v>
      </c>
    </row>
    <row r="27" ht="12.75">
      <c r="A27" s="65" t="s">
        <v>164</v>
      </c>
    </row>
    <row r="28" ht="12.75">
      <c r="A28" s="65" t="s">
        <v>165</v>
      </c>
    </row>
    <row r="29" ht="12.75">
      <c r="A29" s="65" t="s">
        <v>166</v>
      </c>
    </row>
    <row r="30" ht="12.75">
      <c r="A30" s="65" t="s">
        <v>167</v>
      </c>
    </row>
    <row r="31" ht="12.75">
      <c r="A31" s="65" t="s">
        <v>168</v>
      </c>
    </row>
    <row r="32" ht="12.75">
      <c r="A32" s="65"/>
    </row>
    <row r="33" s="51" customFormat="1" ht="12.75">
      <c r="A33" s="51" t="s">
        <v>134</v>
      </c>
    </row>
    <row r="34" s="51" customFormat="1" ht="12.75">
      <c r="A34" s="51" t="s">
        <v>135</v>
      </c>
    </row>
    <row r="35" s="51" customFormat="1" ht="12.75">
      <c r="A35" s="51" t="s">
        <v>136</v>
      </c>
    </row>
    <row r="36" s="51" customFormat="1" ht="12.75">
      <c r="A36" s="51" t="s">
        <v>137</v>
      </c>
    </row>
    <row r="37" ht="12.75">
      <c r="A37" s="51" t="s">
        <v>138</v>
      </c>
    </row>
    <row r="38" ht="12.75">
      <c r="A38" s="51" t="s">
        <v>139</v>
      </c>
    </row>
    <row r="39" ht="12.75">
      <c r="A39" s="51" t="s">
        <v>140</v>
      </c>
    </row>
    <row r="40" ht="12.75">
      <c r="A40" s="51" t="s">
        <v>141</v>
      </c>
    </row>
    <row r="41" ht="12.75">
      <c r="A41" s="51" t="s">
        <v>142</v>
      </c>
    </row>
    <row r="42" ht="12.75">
      <c r="A42" s="51" t="s">
        <v>143</v>
      </c>
    </row>
    <row r="43" ht="12.75">
      <c r="A43" s="51" t="s">
        <v>144</v>
      </c>
    </row>
    <row r="44" ht="12.75">
      <c r="A44" s="51" t="s">
        <v>145</v>
      </c>
    </row>
    <row r="45" ht="12.75">
      <c r="A45" s="51" t="s">
        <v>146</v>
      </c>
    </row>
    <row r="46" ht="12.75">
      <c r="A46" s="51" t="s">
        <v>147</v>
      </c>
    </row>
    <row r="47" ht="12.75">
      <c r="A47" s="51" t="s">
        <v>148</v>
      </c>
    </row>
    <row r="48" ht="12.75">
      <c r="A48" s="51" t="s">
        <v>149</v>
      </c>
    </row>
    <row r="49" ht="12.75">
      <c r="A49" s="51" t="s">
        <v>150</v>
      </c>
    </row>
    <row r="50" ht="12.75">
      <c r="A50" s="51" t="s">
        <v>151</v>
      </c>
    </row>
    <row r="51" ht="12.75">
      <c r="A51" s="51" t="s">
        <v>152</v>
      </c>
    </row>
    <row r="52" ht="12.75">
      <c r="A52" s="51" t="s">
        <v>153</v>
      </c>
    </row>
    <row r="53" ht="12.75">
      <c r="A53" s="51"/>
    </row>
    <row r="54" ht="12.75">
      <c r="A54" s="51"/>
    </row>
    <row r="55" ht="12.75">
      <c r="A55" s="51"/>
    </row>
    <row r="56" ht="12.75">
      <c r="A56" t="s">
        <v>169</v>
      </c>
    </row>
    <row r="57" ht="12.75">
      <c r="A57" t="s">
        <v>170</v>
      </c>
    </row>
    <row r="58" ht="12.75">
      <c r="A58" t="s">
        <v>171</v>
      </c>
    </row>
    <row r="60" ht="12.75">
      <c r="A60" t="s">
        <v>172</v>
      </c>
    </row>
    <row r="61" ht="12.75">
      <c r="A61" t="s">
        <v>173</v>
      </c>
    </row>
    <row r="62" ht="12.75">
      <c r="A62" t="s">
        <v>174</v>
      </c>
    </row>
    <row r="64" ht="12.75">
      <c r="A64" s="51" t="s">
        <v>103</v>
      </c>
    </row>
    <row r="65" ht="12.75">
      <c r="A65" t="s">
        <v>104</v>
      </c>
    </row>
    <row r="66" ht="12.75">
      <c r="A66" t="s">
        <v>105</v>
      </c>
    </row>
    <row r="67" ht="12.75">
      <c r="A67" t="s">
        <v>102</v>
      </c>
    </row>
    <row r="68" ht="12.75">
      <c r="A68" t="s">
        <v>109</v>
      </c>
    </row>
    <row r="70" ht="12.75">
      <c r="A70" s="51" t="s">
        <v>90</v>
      </c>
    </row>
    <row r="71" ht="12.75">
      <c r="A71" t="s">
        <v>88</v>
      </c>
    </row>
    <row r="72" ht="12.75">
      <c r="A72" t="s">
        <v>89</v>
      </c>
    </row>
    <row r="73" ht="12.75">
      <c r="A73" t="s">
        <v>91</v>
      </c>
    </row>
    <row r="74" ht="12.75">
      <c r="A74" s="50" t="s">
        <v>92</v>
      </c>
    </row>
    <row r="75" ht="12.75">
      <c r="A75" t="s">
        <v>95</v>
      </c>
    </row>
    <row r="76" ht="11.25" customHeight="1">
      <c r="A76" t="s">
        <v>94</v>
      </c>
    </row>
    <row r="77" ht="11.25" customHeight="1">
      <c r="A77" t="s">
        <v>115</v>
      </c>
    </row>
    <row r="78" ht="11.25" customHeight="1">
      <c r="A78" t="s">
        <v>114</v>
      </c>
    </row>
    <row r="79" ht="11.25" customHeight="1">
      <c r="A79" t="s">
        <v>116</v>
      </c>
    </row>
    <row r="80" ht="11.25" customHeight="1">
      <c r="A80" t="s">
        <v>117</v>
      </c>
    </row>
    <row r="81" ht="11.25" customHeight="1">
      <c r="A81" t="s">
        <v>118</v>
      </c>
    </row>
    <row r="82" ht="11.25" customHeight="1">
      <c r="A82" t="s">
        <v>119</v>
      </c>
    </row>
    <row r="83" ht="11.25" customHeight="1">
      <c r="A83" t="s">
        <v>120</v>
      </c>
    </row>
    <row r="84" spans="1:3" ht="11.25" customHeight="1">
      <c r="A84" s="50" t="s">
        <v>121</v>
      </c>
      <c r="B84" s="50"/>
      <c r="C84" s="50"/>
    </row>
    <row r="85" spans="1:3" ht="11.25" customHeight="1">
      <c r="A85" s="64" t="s">
        <v>154</v>
      </c>
      <c r="B85" s="50"/>
      <c r="C85" s="50"/>
    </row>
    <row r="86" spans="1:3" ht="11.25" customHeight="1">
      <c r="A86" s="63" t="s">
        <v>155</v>
      </c>
      <c r="B86" s="50"/>
      <c r="C86" s="50"/>
    </row>
    <row r="87" spans="1:3" ht="11.25" customHeight="1">
      <c r="A87" s="64" t="s">
        <v>156</v>
      </c>
      <c r="B87" s="50"/>
      <c r="C87" s="50"/>
    </row>
    <row r="88" spans="1:3" ht="11.25" customHeight="1">
      <c r="A88" s="50"/>
      <c r="B88" s="50"/>
      <c r="C88" s="50"/>
    </row>
    <row r="89" s="63" customFormat="1" ht="11.25" customHeight="1">
      <c r="A89" s="63" t="s">
        <v>122</v>
      </c>
    </row>
    <row r="90" s="63" customFormat="1" ht="11.25" customHeight="1">
      <c r="A90" s="63" t="s">
        <v>123</v>
      </c>
    </row>
    <row r="91" spans="1:3" ht="11.25" customHeight="1">
      <c r="A91" s="62"/>
      <c r="B91" s="50"/>
      <c r="C91" s="50"/>
    </row>
    <row r="92" ht="12.75">
      <c r="A92" s="51" t="s">
        <v>93</v>
      </c>
    </row>
    <row r="93" ht="12.75">
      <c r="A93" s="50" t="s">
        <v>98</v>
      </c>
    </row>
    <row r="95" ht="12.75">
      <c r="A95" s="51" t="s">
        <v>84</v>
      </c>
    </row>
    <row r="96" ht="12.75">
      <c r="A96" s="51" t="s">
        <v>96</v>
      </c>
    </row>
    <row r="98" ht="12.75">
      <c r="A98" s="50" t="s">
        <v>85</v>
      </c>
    </row>
    <row r="99" ht="12.75">
      <c r="B99" t="s">
        <v>86</v>
      </c>
    </row>
    <row r="100" ht="12.75">
      <c r="B100" t="s">
        <v>99</v>
      </c>
    </row>
    <row r="101" ht="12.75">
      <c r="B101" t="s">
        <v>87</v>
      </c>
    </row>
    <row r="103" ht="12.75">
      <c r="A103" t="s">
        <v>100</v>
      </c>
    </row>
    <row r="104" ht="12.75">
      <c r="A104" t="s">
        <v>101</v>
      </c>
    </row>
    <row r="105" ht="12.75">
      <c r="A105" t="s">
        <v>110</v>
      </c>
    </row>
    <row r="106" ht="12.75">
      <c r="A106" t="s">
        <v>111</v>
      </c>
    </row>
    <row r="108" ht="12.75">
      <c r="A108" t="s">
        <v>107</v>
      </c>
    </row>
    <row r="110" ht="12.75">
      <c r="A110" t="s">
        <v>112</v>
      </c>
    </row>
    <row r="111" ht="12.75">
      <c r="A111" t="s">
        <v>113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G1" sqref="G1:I1"/>
    </sheetView>
  </sheetViews>
  <sheetFormatPr defaultColWidth="11.421875" defaultRowHeight="12.75"/>
  <cols>
    <col min="1" max="1" width="9.7109375" style="0" bestFit="1" customWidth="1"/>
    <col min="2" max="2" width="6.7109375" style="0" bestFit="1" customWidth="1"/>
    <col min="3" max="3" width="9.140625" style="0" customWidth="1"/>
    <col min="4" max="5" width="9.140625" style="6" customWidth="1"/>
    <col min="6" max="6" width="5.57421875" style="6" bestFit="1" customWidth="1"/>
    <col min="7" max="9" width="9.140625" style="73" customWidth="1"/>
    <col min="10" max="16384" width="9.140625" style="0" customWidth="1"/>
  </cols>
  <sheetData>
    <row r="1" spans="1:9" ht="12.75">
      <c r="A1" s="10" t="s">
        <v>2</v>
      </c>
      <c r="B1" s="13" t="s">
        <v>12</v>
      </c>
      <c r="C1" s="13" t="s">
        <v>15</v>
      </c>
      <c r="D1" s="6" t="s">
        <v>62</v>
      </c>
      <c r="E1" s="6" t="s">
        <v>63</v>
      </c>
      <c r="F1" s="6" t="s">
        <v>4</v>
      </c>
      <c r="G1" s="7" t="s">
        <v>229</v>
      </c>
      <c r="H1" s="7" t="s">
        <v>225</v>
      </c>
      <c r="I1" s="7" t="s">
        <v>228</v>
      </c>
    </row>
    <row r="2" spans="1:9" ht="12.75">
      <c r="A2" s="2">
        <v>37890</v>
      </c>
      <c r="B2" s="13">
        <v>139.08693194892143</v>
      </c>
      <c r="C2" s="13">
        <v>119.08693194892143</v>
      </c>
      <c r="D2" s="6">
        <v>143.0582735016955</v>
      </c>
      <c r="E2" s="6">
        <v>114.0417264983045</v>
      </c>
      <c r="F2" s="38">
        <v>119.5</v>
      </c>
      <c r="G2" s="73">
        <v>140.025</v>
      </c>
      <c r="H2" s="73">
        <v>126.25</v>
      </c>
      <c r="I2" s="73">
        <v>118.475</v>
      </c>
    </row>
    <row r="3" spans="1:9" ht="12.75">
      <c r="A3" s="2">
        <v>37893</v>
      </c>
      <c r="B3" s="13">
        <v>138.51619395862548</v>
      </c>
      <c r="C3" s="13">
        <v>118.14119395862546</v>
      </c>
      <c r="D3" s="6">
        <v>141.97798214409883</v>
      </c>
      <c r="E3" s="6">
        <v>113.47201785590117</v>
      </c>
      <c r="F3" s="6">
        <v>121</v>
      </c>
      <c r="G3" s="73">
        <v>140.025</v>
      </c>
      <c r="H3" s="73">
        <v>126</v>
      </c>
      <c r="I3" s="73">
        <v>118.475</v>
      </c>
    </row>
    <row r="4" spans="1:9" ht="12.75">
      <c r="A4" s="2">
        <v>37894</v>
      </c>
      <c r="B4" s="13">
        <v>137.76799081042233</v>
      </c>
      <c r="C4" s="13">
        <v>117.26799081042236</v>
      </c>
      <c r="D4" s="6">
        <v>140.81617763611834</v>
      </c>
      <c r="E4" s="6">
        <v>112.98382236388167</v>
      </c>
      <c r="F4" s="6">
        <v>120.5</v>
      </c>
      <c r="G4" s="73">
        <v>140.025</v>
      </c>
      <c r="H4" s="73">
        <v>125.75</v>
      </c>
      <c r="I4" s="73">
        <v>118.475</v>
      </c>
    </row>
    <row r="5" spans="1:9" ht="12.75">
      <c r="A5" s="2">
        <v>37895</v>
      </c>
      <c r="B5" s="13">
        <v>137.02516140743063</v>
      </c>
      <c r="C5" s="13">
        <v>116.02516140743064</v>
      </c>
      <c r="D5" s="6">
        <v>138.54192967609052</v>
      </c>
      <c r="E5" s="6">
        <v>113.45807032390948</v>
      </c>
      <c r="F5" s="6">
        <v>122.5</v>
      </c>
      <c r="G5" s="73">
        <v>139.2625</v>
      </c>
      <c r="H5" s="73">
        <v>125.5</v>
      </c>
      <c r="I5" s="73">
        <v>118.475</v>
      </c>
    </row>
    <row r="6" spans="1:9" ht="12.75">
      <c r="A6" s="2">
        <v>37896</v>
      </c>
      <c r="B6" s="13">
        <v>136.200458495963</v>
      </c>
      <c r="C6" s="13">
        <v>115.20045849596303</v>
      </c>
      <c r="D6" s="6">
        <v>136.18130551561802</v>
      </c>
      <c r="E6" s="6">
        <v>114.36869448438199</v>
      </c>
      <c r="F6" s="6">
        <v>125</v>
      </c>
      <c r="G6" s="73">
        <v>138.2875</v>
      </c>
      <c r="H6" s="73">
        <v>125.25</v>
      </c>
      <c r="I6" s="73">
        <v>118.475</v>
      </c>
    </row>
    <row r="7" spans="1:9" ht="12.75">
      <c r="A7" s="2">
        <v>37897</v>
      </c>
      <c r="B7" s="13">
        <v>135.9297835744423</v>
      </c>
      <c r="C7" s="13">
        <v>114.67978357444228</v>
      </c>
      <c r="D7" s="6">
        <v>134.6217778153364</v>
      </c>
      <c r="E7" s="6">
        <v>115.22822218466361</v>
      </c>
      <c r="F7" s="6">
        <v>130.5</v>
      </c>
      <c r="G7" s="73">
        <v>135.675</v>
      </c>
      <c r="H7" s="73">
        <v>125.25</v>
      </c>
      <c r="I7" s="73">
        <v>118.475</v>
      </c>
    </row>
    <row r="8" spans="1:9" ht="12.75">
      <c r="A8" s="2">
        <v>37900</v>
      </c>
      <c r="B8" s="13">
        <v>135.24804386025576</v>
      </c>
      <c r="C8" s="13">
        <v>114.62304386025578</v>
      </c>
      <c r="D8" s="6">
        <v>131.95676606115723</v>
      </c>
      <c r="E8" s="6">
        <v>116.89323393884276</v>
      </c>
      <c r="F8" s="6">
        <v>129</v>
      </c>
      <c r="G8" s="73">
        <v>131.2875</v>
      </c>
      <c r="H8" s="73">
        <v>125.25</v>
      </c>
      <c r="I8" s="73">
        <v>118.475</v>
      </c>
    </row>
    <row r="9" spans="1:9" ht="12.75">
      <c r="A9" s="2">
        <v>37901</v>
      </c>
      <c r="B9" s="13">
        <v>133.46468240543763</v>
      </c>
      <c r="C9" s="13">
        <v>115.33968240543763</v>
      </c>
      <c r="D9" s="6">
        <v>131.1277168564269</v>
      </c>
      <c r="E9" s="6">
        <v>117.3222831435731</v>
      </c>
      <c r="F9" s="6">
        <v>128</v>
      </c>
      <c r="G9" s="73">
        <v>129.7875</v>
      </c>
      <c r="H9" s="73">
        <v>125.25</v>
      </c>
      <c r="I9" s="73">
        <v>118.475</v>
      </c>
    </row>
    <row r="10" spans="1:9" ht="12.75">
      <c r="A10" s="2">
        <v>37902</v>
      </c>
      <c r="B10" s="13">
        <v>133.30965431232906</v>
      </c>
      <c r="C10" s="13">
        <v>115.55965431232906</v>
      </c>
      <c r="D10" s="6">
        <v>131.38385968127997</v>
      </c>
      <c r="E10" s="6">
        <v>117.26614031872003</v>
      </c>
      <c r="F10" s="6">
        <v>128</v>
      </c>
      <c r="G10" s="73">
        <v>129.7875</v>
      </c>
      <c r="H10" s="73">
        <v>125.25</v>
      </c>
      <c r="I10" s="73">
        <v>118.475</v>
      </c>
    </row>
    <row r="11" spans="1:9" ht="12.75">
      <c r="A11" s="2">
        <v>37903</v>
      </c>
      <c r="B11" s="13">
        <v>133.71439892159648</v>
      </c>
      <c r="C11" s="13">
        <v>115.58939892159651</v>
      </c>
      <c r="D11" s="6">
        <v>132.51280999384986</v>
      </c>
      <c r="E11" s="6">
        <v>116.88719000615016</v>
      </c>
      <c r="F11" s="6">
        <v>132</v>
      </c>
      <c r="G11" s="73">
        <v>131.2875</v>
      </c>
      <c r="H11" s="73">
        <v>125.5</v>
      </c>
      <c r="I11" s="73">
        <v>118.475</v>
      </c>
    </row>
    <row r="12" spans="1:9" ht="12.75">
      <c r="A12" s="2">
        <v>37904</v>
      </c>
      <c r="B12" s="13">
        <v>133.63088803597242</v>
      </c>
      <c r="C12" s="13">
        <v>116.13088803597243</v>
      </c>
      <c r="D12" s="6">
        <v>133.25434176127547</v>
      </c>
      <c r="E12" s="6">
        <v>116.69565823872452</v>
      </c>
      <c r="F12" s="6">
        <v>131</v>
      </c>
      <c r="G12" s="73">
        <v>131.525</v>
      </c>
      <c r="H12" s="73">
        <v>125.75</v>
      </c>
      <c r="I12" s="73">
        <v>118.475</v>
      </c>
    </row>
    <row r="13" spans="1:9" ht="12.75">
      <c r="A13" s="2">
        <v>37907</v>
      </c>
      <c r="B13" s="13">
        <v>133.95576776849757</v>
      </c>
      <c r="C13" s="13">
        <v>116.45576776849757</v>
      </c>
      <c r="D13" s="6">
        <v>134.27440805847382</v>
      </c>
      <c r="E13" s="6">
        <v>116.32559194152617</v>
      </c>
      <c r="F13" s="6">
        <v>133</v>
      </c>
      <c r="G13" s="73">
        <v>132.525</v>
      </c>
      <c r="H13" s="73">
        <v>125.75</v>
      </c>
      <c r="I13" s="73">
        <v>118.475</v>
      </c>
    </row>
    <row r="14" spans="1:9" ht="12.75">
      <c r="A14" s="2">
        <v>37908</v>
      </c>
      <c r="B14" s="13">
        <v>134.3068452962829</v>
      </c>
      <c r="C14" s="13">
        <v>116.68184529628289</v>
      </c>
      <c r="D14" s="6">
        <v>134.78977932999487</v>
      </c>
      <c r="E14" s="6">
        <v>116.21022067000513</v>
      </c>
      <c r="F14" s="6">
        <v>131</v>
      </c>
      <c r="G14" s="73">
        <v>132.525</v>
      </c>
      <c r="H14" s="73">
        <v>125.75</v>
      </c>
      <c r="I14" s="73">
        <v>118.475</v>
      </c>
    </row>
    <row r="15" spans="1:9" ht="12.75">
      <c r="A15" s="2">
        <v>37909</v>
      </c>
      <c r="B15" s="13">
        <v>134.27626043479535</v>
      </c>
      <c r="C15" s="13">
        <v>117.15126043479533</v>
      </c>
      <c r="D15" s="6">
        <v>135.53723455235715</v>
      </c>
      <c r="E15" s="6">
        <v>116.11276544764286</v>
      </c>
      <c r="F15" s="6">
        <v>132</v>
      </c>
      <c r="G15" s="73">
        <v>132.525</v>
      </c>
      <c r="H15" s="73">
        <v>126.5</v>
      </c>
      <c r="I15" s="73">
        <v>118.475</v>
      </c>
    </row>
    <row r="16" spans="1:9" ht="12.75">
      <c r="A16" s="2">
        <v>37910</v>
      </c>
      <c r="B16" s="13">
        <v>134.9946666363457</v>
      </c>
      <c r="C16" s="13">
        <v>116.86966663634571</v>
      </c>
      <c r="D16" s="6">
        <v>135.57676719162126</v>
      </c>
      <c r="E16" s="6">
        <v>116.12323280837872</v>
      </c>
      <c r="F16" s="39">
        <v>127.5</v>
      </c>
      <c r="G16" s="73">
        <v>132.525</v>
      </c>
      <c r="H16" s="73">
        <v>126.75</v>
      </c>
      <c r="I16" s="73">
        <v>118.475</v>
      </c>
    </row>
    <row r="17" spans="1:9" ht="12.75">
      <c r="A17" s="2">
        <v>37911</v>
      </c>
      <c r="B17" s="13">
        <v>135.3472161943218</v>
      </c>
      <c r="C17" s="13">
        <v>116.97221619432177</v>
      </c>
      <c r="D17" s="6">
        <v>136.15931612019475</v>
      </c>
      <c r="E17" s="6">
        <v>116.09068387980525</v>
      </c>
      <c r="F17" s="6">
        <v>131.5</v>
      </c>
      <c r="G17" s="73">
        <v>132.525</v>
      </c>
      <c r="H17" s="73">
        <v>127.75</v>
      </c>
      <c r="I17" s="73">
        <v>118.475</v>
      </c>
    </row>
    <row r="18" spans="1:9" ht="12.75">
      <c r="A18" s="2">
        <v>37914</v>
      </c>
      <c r="B18" s="13">
        <v>135.6709534220064</v>
      </c>
      <c r="C18" s="13">
        <v>117.42095342200639</v>
      </c>
      <c r="D18" s="6">
        <v>136.66637564633123</v>
      </c>
      <c r="E18" s="6">
        <v>116.38362435366878</v>
      </c>
      <c r="F18" s="6">
        <v>131</v>
      </c>
      <c r="G18" s="73">
        <v>132.525</v>
      </c>
      <c r="H18" s="73">
        <v>128</v>
      </c>
      <c r="I18" s="73">
        <v>118.475</v>
      </c>
    </row>
    <row r="19" spans="1:9" ht="12.75">
      <c r="A19" s="2">
        <v>37915</v>
      </c>
      <c r="B19" s="13">
        <v>136.1696037672669</v>
      </c>
      <c r="C19" s="13">
        <v>118.04460376726688</v>
      </c>
      <c r="D19" s="6">
        <v>137.18916911622614</v>
      </c>
      <c r="E19" s="6">
        <v>117.06083088377386</v>
      </c>
      <c r="F19" s="6">
        <v>132.5</v>
      </c>
      <c r="G19" s="73">
        <v>132.7625</v>
      </c>
      <c r="H19" s="73">
        <v>128.5</v>
      </c>
      <c r="I19" s="73">
        <v>118.475</v>
      </c>
    </row>
    <row r="20" spans="1:9" ht="12.75">
      <c r="A20" s="2">
        <v>37916</v>
      </c>
      <c r="B20" s="13">
        <v>136.7706149536889</v>
      </c>
      <c r="C20" s="13">
        <v>118.52061495368889</v>
      </c>
      <c r="D20" s="6">
        <v>137.0366927082972</v>
      </c>
      <c r="E20" s="6">
        <v>118.2633072917028</v>
      </c>
      <c r="F20" s="6">
        <v>129.5</v>
      </c>
      <c r="G20" s="73">
        <v>132.7625</v>
      </c>
      <c r="H20" s="73">
        <v>129.25</v>
      </c>
      <c r="I20" s="73">
        <v>118.7125</v>
      </c>
    </row>
    <row r="21" spans="1:9" ht="12.75">
      <c r="A21" s="2">
        <v>37917</v>
      </c>
      <c r="B21" s="13">
        <v>137.49816148520145</v>
      </c>
      <c r="C21" s="13">
        <v>118.87316148520145</v>
      </c>
      <c r="D21" s="6">
        <v>136.45313384767366</v>
      </c>
      <c r="E21" s="6">
        <v>119.89686615232637</v>
      </c>
      <c r="F21" s="6">
        <v>128.5</v>
      </c>
      <c r="G21" s="73">
        <v>132.7625</v>
      </c>
      <c r="H21" s="73">
        <v>129.25</v>
      </c>
      <c r="I21" s="73">
        <v>119.975</v>
      </c>
    </row>
    <row r="22" spans="1:9" ht="12.75">
      <c r="A22" s="2">
        <v>37918</v>
      </c>
      <c r="B22" s="13">
        <v>137.7411435188812</v>
      </c>
      <c r="C22" s="13">
        <v>119.74114351888116</v>
      </c>
      <c r="D22" s="6">
        <v>135.94325288497862</v>
      </c>
      <c r="E22" s="6">
        <v>121.40674711502139</v>
      </c>
      <c r="F22" s="6">
        <v>129.5</v>
      </c>
      <c r="G22" s="73">
        <v>132.7625</v>
      </c>
      <c r="H22" s="73">
        <v>129.5</v>
      </c>
      <c r="I22" s="73">
        <v>120.7375</v>
      </c>
    </row>
    <row r="23" spans="1:9" ht="12.75">
      <c r="A23" s="2">
        <v>37921</v>
      </c>
      <c r="B23" s="13">
        <v>137.83615730818065</v>
      </c>
      <c r="C23" s="13">
        <v>120.33615730818062</v>
      </c>
      <c r="D23" s="6">
        <v>135.49583197078687</v>
      </c>
      <c r="E23" s="6">
        <v>122.75416802921313</v>
      </c>
      <c r="F23" s="6">
        <v>130</v>
      </c>
      <c r="G23" s="73">
        <v>132.7625</v>
      </c>
      <c r="H23" s="73">
        <v>129.75</v>
      </c>
      <c r="I23" s="73">
        <v>121.45</v>
      </c>
    </row>
    <row r="24" spans="1:9" ht="12.75">
      <c r="A24" s="2">
        <v>37922</v>
      </c>
      <c r="B24" s="13">
        <v>138.10692417373716</v>
      </c>
      <c r="C24" s="13">
        <v>121.10692417373716</v>
      </c>
      <c r="D24" s="6">
        <v>134.6809044912421</v>
      </c>
      <c r="E24" s="6">
        <v>124.6190955087579</v>
      </c>
      <c r="F24" s="6">
        <v>131</v>
      </c>
      <c r="G24" s="73">
        <v>132.7625</v>
      </c>
      <c r="H24" s="73">
        <v>130.25</v>
      </c>
      <c r="I24" s="73">
        <v>123.6875</v>
      </c>
    </row>
    <row r="25" spans="1:9" ht="12.75">
      <c r="A25" s="2">
        <v>37923</v>
      </c>
      <c r="B25" s="13">
        <v>138.3739136787141</v>
      </c>
      <c r="C25" s="13">
        <v>121.99891367871408</v>
      </c>
      <c r="D25" s="6">
        <v>134.03492327290448</v>
      </c>
      <c r="E25" s="6">
        <v>126.21507672709554</v>
      </c>
      <c r="F25" s="38">
        <v>132</v>
      </c>
      <c r="G25" s="73">
        <v>132.7625</v>
      </c>
      <c r="H25" s="73">
        <v>130.75</v>
      </c>
      <c r="I25" s="73">
        <v>126.1875</v>
      </c>
    </row>
    <row r="26" spans="1:9" ht="12.75">
      <c r="A26" s="2">
        <v>37924</v>
      </c>
      <c r="B26" s="13">
        <v>138.9524720763789</v>
      </c>
      <c r="C26" s="13">
        <v>122.20247207637894</v>
      </c>
      <c r="D26" s="6">
        <v>133.6761716605018</v>
      </c>
      <c r="E26" s="6">
        <v>127.27382833949817</v>
      </c>
      <c r="F26" s="6">
        <v>132</v>
      </c>
      <c r="G26" s="73">
        <v>132.7625</v>
      </c>
      <c r="H26" s="73">
        <v>131</v>
      </c>
      <c r="I26" s="73">
        <v>127.7375</v>
      </c>
    </row>
    <row r="27" spans="1:9" ht="12.75">
      <c r="A27" s="2">
        <v>37925</v>
      </c>
      <c r="B27" s="13">
        <v>138.69314186522791</v>
      </c>
      <c r="C27" s="13">
        <v>122.69314186522793</v>
      </c>
      <c r="D27" s="6">
        <v>133.89576798346405</v>
      </c>
      <c r="E27" s="6">
        <v>127.25423201653592</v>
      </c>
      <c r="F27" s="6">
        <v>132.5</v>
      </c>
      <c r="G27" s="73">
        <v>132.7625</v>
      </c>
      <c r="H27" s="73">
        <v>131</v>
      </c>
      <c r="I27" s="73">
        <v>127.7375</v>
      </c>
    </row>
    <row r="28" spans="1:9" ht="12.75">
      <c r="A28" s="2">
        <v>37928</v>
      </c>
      <c r="B28" s="13">
        <v>139.04405740359024</v>
      </c>
      <c r="C28" s="13">
        <v>122.91905740359027</v>
      </c>
      <c r="D28" s="6">
        <v>134.76781592116274</v>
      </c>
      <c r="E28" s="6">
        <v>127.03218407883726</v>
      </c>
      <c r="F28" s="6">
        <v>135.5</v>
      </c>
      <c r="G28" s="73">
        <v>134.3125</v>
      </c>
      <c r="H28" s="73">
        <v>131</v>
      </c>
      <c r="I28" s="73">
        <v>127.7375</v>
      </c>
    </row>
    <row r="29" spans="1:9" ht="12.75">
      <c r="A29" s="2">
        <v>37929</v>
      </c>
      <c r="B29" s="13">
        <v>139.31699557798513</v>
      </c>
      <c r="C29" s="13">
        <v>123.44199557798513</v>
      </c>
      <c r="D29" s="6">
        <v>135.15533077488396</v>
      </c>
      <c r="E29" s="6">
        <v>127.29466922511602</v>
      </c>
      <c r="F29" s="6">
        <v>134.5</v>
      </c>
      <c r="G29" s="73">
        <v>135.025</v>
      </c>
      <c r="H29" s="73">
        <v>131.25</v>
      </c>
      <c r="I29" s="73">
        <v>127.7375</v>
      </c>
    </row>
    <row r="30" spans="1:9" ht="12.75">
      <c r="A30" s="2">
        <v>37930</v>
      </c>
      <c r="B30" s="13">
        <v>139.46455619812323</v>
      </c>
      <c r="C30" s="13">
        <v>123.83955619812323</v>
      </c>
      <c r="D30" s="6">
        <v>135.25499667110373</v>
      </c>
      <c r="E30" s="6">
        <v>127.74500332889629</v>
      </c>
      <c r="F30" s="6">
        <v>133.5</v>
      </c>
      <c r="G30" s="73">
        <v>135.025</v>
      </c>
      <c r="H30" s="73">
        <v>131.75</v>
      </c>
      <c r="I30" s="73">
        <v>127.975</v>
      </c>
    </row>
    <row r="31" spans="1:9" ht="12.75">
      <c r="A31" s="2">
        <v>37931</v>
      </c>
      <c r="B31" s="13">
        <v>139.53446946415477</v>
      </c>
      <c r="C31" s="13">
        <v>124.2844694641548</v>
      </c>
      <c r="D31" s="6">
        <v>135.93556371690946</v>
      </c>
      <c r="E31" s="6">
        <v>127.46443628309052</v>
      </c>
      <c r="F31" s="6">
        <v>136</v>
      </c>
      <c r="G31" s="73">
        <v>135.7625</v>
      </c>
      <c r="H31" s="73">
        <v>131.75</v>
      </c>
      <c r="I31" s="73">
        <v>127.975</v>
      </c>
    </row>
    <row r="32" spans="1:9" ht="12.75">
      <c r="A32" s="2">
        <v>37932</v>
      </c>
      <c r="B32" s="13">
        <v>139.88429650839575</v>
      </c>
      <c r="C32" s="13">
        <v>124.63429650839575</v>
      </c>
      <c r="D32" s="6">
        <v>137.07891638427208</v>
      </c>
      <c r="E32" s="6">
        <v>127.02108361572795</v>
      </c>
      <c r="F32" s="6">
        <v>138</v>
      </c>
      <c r="G32" s="73">
        <v>137.05</v>
      </c>
      <c r="H32" s="73">
        <v>132</v>
      </c>
      <c r="I32" s="73">
        <v>127.975</v>
      </c>
    </row>
    <row r="33" spans="1:9" ht="12.75">
      <c r="A33" s="2">
        <v>37935</v>
      </c>
      <c r="B33" s="13">
        <v>139.88278002191765</v>
      </c>
      <c r="C33" s="13">
        <v>124.88278002191767</v>
      </c>
      <c r="D33" s="6">
        <v>137.32783738639986</v>
      </c>
      <c r="E33" s="6">
        <v>126.97216261360016</v>
      </c>
      <c r="F33" s="6">
        <v>135</v>
      </c>
      <c r="G33" s="73">
        <v>137.05</v>
      </c>
      <c r="H33" s="73">
        <v>132</v>
      </c>
      <c r="I33" s="73">
        <v>127.975</v>
      </c>
    </row>
    <row r="34" spans="1:9" ht="12.75">
      <c r="A34" s="2">
        <v>37936</v>
      </c>
      <c r="B34" s="13">
        <v>139.77962919290175</v>
      </c>
      <c r="C34" s="13">
        <v>125.15462919290175</v>
      </c>
      <c r="D34" s="6">
        <v>137.50960651105245</v>
      </c>
      <c r="E34" s="6">
        <v>127.09039348894757</v>
      </c>
      <c r="F34" s="55">
        <v>134</v>
      </c>
      <c r="G34" s="73">
        <v>137.05</v>
      </c>
      <c r="H34" s="73">
        <v>132</v>
      </c>
      <c r="I34" s="73">
        <v>127.975</v>
      </c>
    </row>
    <row r="35" spans="1:9" ht="12.75">
      <c r="A35" s="2">
        <v>37937</v>
      </c>
      <c r="B35" s="13">
        <v>139.82808906936918</v>
      </c>
      <c r="C35" s="13">
        <v>125.45308906936921</v>
      </c>
      <c r="D35" s="6">
        <v>137.94977063737548</v>
      </c>
      <c r="E35" s="6">
        <v>127.05022936262452</v>
      </c>
      <c r="F35" s="6">
        <v>136</v>
      </c>
      <c r="G35" s="73">
        <v>137.05</v>
      </c>
      <c r="H35" s="73">
        <v>132.25</v>
      </c>
      <c r="I35" s="73">
        <v>127.975</v>
      </c>
    </row>
    <row r="36" spans="1:9" ht="12.75">
      <c r="A36" s="2">
        <v>37938</v>
      </c>
      <c r="B36" s="13">
        <v>139.50556805977493</v>
      </c>
      <c r="C36" s="13">
        <v>126.50556805977494</v>
      </c>
      <c r="D36" s="6">
        <v>138.2520730523653</v>
      </c>
      <c r="E36" s="6">
        <v>127.6979269476347</v>
      </c>
      <c r="F36" s="6">
        <v>137</v>
      </c>
      <c r="G36" s="73">
        <v>137.525</v>
      </c>
      <c r="H36" s="73">
        <v>132.5</v>
      </c>
      <c r="I36" s="73">
        <v>128.975</v>
      </c>
    </row>
    <row r="37" spans="1:9" ht="12.75">
      <c r="A37" s="2">
        <v>37939</v>
      </c>
      <c r="B37" s="13">
        <v>139.5259263910111</v>
      </c>
      <c r="C37" s="13">
        <v>127.02592639101113</v>
      </c>
      <c r="D37" s="6">
        <v>138.66995179042019</v>
      </c>
      <c r="E37" s="6">
        <v>127.7800482095798</v>
      </c>
      <c r="F37" s="6">
        <v>136.5</v>
      </c>
      <c r="G37" s="73">
        <v>137.525</v>
      </c>
      <c r="H37" s="73">
        <v>133</v>
      </c>
      <c r="I37" s="73">
        <v>128.975</v>
      </c>
    </row>
    <row r="38" spans="1:9" ht="12.75">
      <c r="A38" s="2">
        <v>37942</v>
      </c>
      <c r="B38" s="13">
        <v>139.62589065439005</v>
      </c>
      <c r="C38" s="13">
        <v>127.12589065439003</v>
      </c>
      <c r="D38" s="6">
        <v>138.66097006147209</v>
      </c>
      <c r="E38" s="6">
        <v>127.93902993852792</v>
      </c>
      <c r="F38" s="6">
        <v>132.5</v>
      </c>
      <c r="G38" s="73">
        <v>137.525</v>
      </c>
      <c r="H38" s="73">
        <v>133</v>
      </c>
      <c r="I38" s="73">
        <v>128.975</v>
      </c>
    </row>
    <row r="39" spans="1:9" ht="12.75">
      <c r="A39" s="2">
        <v>37943</v>
      </c>
      <c r="B39" s="13">
        <v>139.700864352167</v>
      </c>
      <c r="C39" s="13">
        <v>127.20086435216699</v>
      </c>
      <c r="D39" s="6">
        <v>138.73107132140714</v>
      </c>
      <c r="E39" s="6">
        <v>128.01892867859286</v>
      </c>
      <c r="F39" s="6">
        <v>134</v>
      </c>
      <c r="G39" s="73">
        <v>137.525</v>
      </c>
      <c r="H39" s="73">
        <v>133.75</v>
      </c>
      <c r="I39" s="73">
        <v>128.975</v>
      </c>
    </row>
    <row r="40" spans="1:9" ht="12.75">
      <c r="A40" s="2">
        <v>37944</v>
      </c>
      <c r="B40" s="13">
        <v>139.4463016145244</v>
      </c>
      <c r="C40" s="13">
        <v>127.44630161452442</v>
      </c>
      <c r="D40" s="6">
        <v>138.5990195135928</v>
      </c>
      <c r="E40" s="6">
        <v>128.4009804864072</v>
      </c>
      <c r="F40" s="6">
        <v>132</v>
      </c>
      <c r="G40" s="73">
        <v>137.525</v>
      </c>
      <c r="H40" s="73">
        <v>133.75</v>
      </c>
      <c r="I40" s="73">
        <v>128.975</v>
      </c>
    </row>
    <row r="41" spans="1:9" ht="12.75">
      <c r="A41" s="2">
        <v>37945</v>
      </c>
      <c r="B41" s="13">
        <v>139.80048467848678</v>
      </c>
      <c r="C41" s="13">
        <v>127.42548467848678</v>
      </c>
      <c r="D41" s="6">
        <v>138.29090626272594</v>
      </c>
      <c r="E41" s="6">
        <v>129.15909373727405</v>
      </c>
      <c r="F41" s="6">
        <v>133</v>
      </c>
      <c r="G41" s="73">
        <v>137.525</v>
      </c>
      <c r="H41" s="73">
        <v>133.75</v>
      </c>
      <c r="I41" s="73">
        <v>129.7375</v>
      </c>
    </row>
    <row r="42" spans="1:9" ht="12.75">
      <c r="A42" s="2">
        <v>37946</v>
      </c>
      <c r="B42" s="13">
        <v>140.05128549270225</v>
      </c>
      <c r="C42" s="13">
        <v>127.5512854927022</v>
      </c>
      <c r="D42" s="6">
        <v>138.06353838933506</v>
      </c>
      <c r="E42" s="6">
        <v>129.78646161066496</v>
      </c>
      <c r="F42" s="6">
        <v>133.5</v>
      </c>
      <c r="G42" s="73">
        <v>137.525</v>
      </c>
      <c r="H42" s="73">
        <v>133.75</v>
      </c>
      <c r="I42" s="73">
        <v>130.475</v>
      </c>
    </row>
    <row r="43" spans="1:9" ht="12.75">
      <c r="A43" s="2">
        <v>37949</v>
      </c>
      <c r="B43" s="13">
        <v>140.70717228381838</v>
      </c>
      <c r="C43" s="13">
        <v>127.58217228381838</v>
      </c>
      <c r="D43" s="6">
        <v>138.414926649709</v>
      </c>
      <c r="E43" s="6">
        <v>130.23507335029097</v>
      </c>
      <c r="F43" s="6">
        <v>138</v>
      </c>
      <c r="G43" s="73">
        <v>138</v>
      </c>
      <c r="H43" s="73">
        <v>134</v>
      </c>
      <c r="I43" s="73">
        <v>131.475</v>
      </c>
    </row>
    <row r="44" spans="1:9" ht="12.75">
      <c r="A44" s="2">
        <v>37950</v>
      </c>
      <c r="B44" s="13">
        <v>141.10860544114993</v>
      </c>
      <c r="C44" s="13">
        <v>127.73360544114989</v>
      </c>
      <c r="D44" s="6">
        <v>138.425649295898</v>
      </c>
      <c r="E44" s="6">
        <v>130.72435070410197</v>
      </c>
      <c r="F44" s="6">
        <v>136</v>
      </c>
      <c r="G44" s="73">
        <v>138</v>
      </c>
      <c r="H44" s="73">
        <v>134.25</v>
      </c>
      <c r="I44" s="73">
        <v>132</v>
      </c>
    </row>
    <row r="45" spans="1:9" ht="12.75">
      <c r="A45" s="2">
        <v>37951</v>
      </c>
      <c r="B45" s="13">
        <v>141.33352768414574</v>
      </c>
      <c r="C45" s="13">
        <v>127.95852768414572</v>
      </c>
      <c r="D45" s="6">
        <v>138.48276212829248</v>
      </c>
      <c r="E45" s="6">
        <v>131.06723787170753</v>
      </c>
      <c r="F45" s="6">
        <v>136</v>
      </c>
      <c r="G45" s="73">
        <v>138</v>
      </c>
      <c r="H45" s="73">
        <v>134.75</v>
      </c>
      <c r="I45" s="73">
        <v>132</v>
      </c>
    </row>
    <row r="46" spans="1:9" ht="12.75">
      <c r="A46" s="2">
        <v>37952</v>
      </c>
      <c r="B46" s="13">
        <v>141.2782667030598</v>
      </c>
      <c r="C46" s="13">
        <v>128.5282667030598</v>
      </c>
      <c r="D46" s="6">
        <v>138.54964786985977</v>
      </c>
      <c r="E46" s="6">
        <v>131.45035213014023</v>
      </c>
      <c r="F46" s="6">
        <v>136.5</v>
      </c>
      <c r="G46" s="73">
        <v>138</v>
      </c>
      <c r="H46" s="73">
        <v>135.25</v>
      </c>
      <c r="I46" s="73">
        <v>132.2375</v>
      </c>
    </row>
    <row r="47" spans="1:9" ht="12.75">
      <c r="A47" s="2">
        <v>37953</v>
      </c>
      <c r="B47" s="13">
        <v>141.50318836453292</v>
      </c>
      <c r="C47" s="13">
        <v>128.75318836453292</v>
      </c>
      <c r="D47" s="6">
        <v>138.5554585487771</v>
      </c>
      <c r="E47" s="6">
        <v>131.79454145122293</v>
      </c>
      <c r="F47" s="6">
        <v>136</v>
      </c>
      <c r="G47" s="73">
        <v>138</v>
      </c>
      <c r="H47" s="73">
        <v>135.75</v>
      </c>
      <c r="I47" s="73">
        <v>132.2375</v>
      </c>
    </row>
    <row r="48" spans="1:9" ht="12.75">
      <c r="A48" s="2">
        <v>37956</v>
      </c>
      <c r="B48" s="13">
        <v>141.55316385472898</v>
      </c>
      <c r="C48" s="13">
        <v>128.80316385472898</v>
      </c>
      <c r="D48" s="6">
        <v>138.5970575502926</v>
      </c>
      <c r="E48" s="6">
        <v>131.8029424497074</v>
      </c>
      <c r="F48" s="6">
        <v>136</v>
      </c>
      <c r="G48" s="73">
        <v>138</v>
      </c>
      <c r="H48" s="73">
        <v>136</v>
      </c>
      <c r="I48" s="73">
        <v>132.2375</v>
      </c>
    </row>
    <row r="49" spans="1:9" ht="12.75">
      <c r="A49" s="2">
        <v>37957</v>
      </c>
      <c r="B49" s="13">
        <v>141.67897595122912</v>
      </c>
      <c r="C49" s="13">
        <v>128.80397595122915</v>
      </c>
      <c r="D49" s="6">
        <v>138.63378486313772</v>
      </c>
      <c r="E49" s="6">
        <v>131.86621513686228</v>
      </c>
      <c r="F49" s="6">
        <v>135.5</v>
      </c>
      <c r="G49" s="73">
        <v>138</v>
      </c>
      <c r="H49" s="73">
        <v>136</v>
      </c>
      <c r="I49" s="73">
        <v>132.2375</v>
      </c>
    </row>
    <row r="50" spans="1:9" ht="12.75">
      <c r="A50" s="2">
        <v>37958</v>
      </c>
      <c r="B50" s="13">
        <v>141.75395003867538</v>
      </c>
      <c r="C50" s="13">
        <v>128.8789500386754</v>
      </c>
      <c r="D50" s="6">
        <v>138.60756708170825</v>
      </c>
      <c r="E50" s="6">
        <v>131.99243291829177</v>
      </c>
      <c r="F50" s="6">
        <v>134.5</v>
      </c>
      <c r="G50" s="73">
        <v>138</v>
      </c>
      <c r="H50" s="73">
        <v>136</v>
      </c>
      <c r="I50" s="73">
        <v>132.2375</v>
      </c>
    </row>
    <row r="51" spans="1:9" ht="12.75">
      <c r="A51" s="2">
        <v>37959</v>
      </c>
      <c r="B51" s="13">
        <v>141.80391680087249</v>
      </c>
      <c r="C51" s="13">
        <v>128.9289168008725</v>
      </c>
      <c r="D51" s="6">
        <v>138.7278691508109</v>
      </c>
      <c r="E51" s="6">
        <v>131.97213084918909</v>
      </c>
      <c r="F51" s="6">
        <v>137</v>
      </c>
      <c r="G51" s="73">
        <v>138</v>
      </c>
      <c r="H51" s="73">
        <v>136</v>
      </c>
      <c r="I51" s="73">
        <v>132.2375</v>
      </c>
    </row>
    <row r="52" spans="1:9" ht="12.75">
      <c r="A52" s="2">
        <v>37960</v>
      </c>
      <c r="B52" s="13">
        <v>141.68021315794505</v>
      </c>
      <c r="C52" s="13">
        <v>128.68021315794505</v>
      </c>
      <c r="D52" s="6">
        <v>138.3453090617341</v>
      </c>
      <c r="E52" s="6">
        <v>131.9546909382659</v>
      </c>
      <c r="F52" s="6">
        <v>134</v>
      </c>
      <c r="G52" s="73">
        <v>137.525</v>
      </c>
      <c r="H52" s="73">
        <v>135.75</v>
      </c>
      <c r="I52" s="73">
        <v>132.2375</v>
      </c>
    </row>
    <row r="53" spans="1:9" ht="12.75">
      <c r="A53" s="2">
        <v>37963</v>
      </c>
      <c r="B53" s="13">
        <v>141.60675634517182</v>
      </c>
      <c r="C53" s="13">
        <v>128.35675634517182</v>
      </c>
      <c r="D53" s="6">
        <v>138.71016842425803</v>
      </c>
      <c r="E53" s="6">
        <v>131.139831575742</v>
      </c>
      <c r="F53" s="6">
        <v>130.5</v>
      </c>
      <c r="G53" s="73">
        <v>137.525</v>
      </c>
      <c r="H53" s="73">
        <v>135.75</v>
      </c>
      <c r="I53" s="73">
        <v>131.2125</v>
      </c>
    </row>
    <row r="54" spans="1:9" ht="12.75">
      <c r="A54" s="2">
        <v>37964</v>
      </c>
      <c r="B54" s="13">
        <v>141.58370649369306</v>
      </c>
      <c r="C54" s="13">
        <v>128.08370649369306</v>
      </c>
      <c r="D54" s="6">
        <v>139.24965845719657</v>
      </c>
      <c r="E54" s="6">
        <v>130.10034154280345</v>
      </c>
      <c r="F54" s="6">
        <v>129</v>
      </c>
      <c r="G54" s="73">
        <v>137.525</v>
      </c>
      <c r="H54" s="73">
        <v>135.75</v>
      </c>
      <c r="I54" s="73">
        <v>129.7125</v>
      </c>
    </row>
    <row r="55" spans="1:9" ht="12.75">
      <c r="A55" s="2">
        <v>37965</v>
      </c>
      <c r="B55" s="13">
        <v>141.2844372007171</v>
      </c>
      <c r="C55" s="13">
        <v>127.6594372007171</v>
      </c>
      <c r="D55" s="6">
        <v>139.47548541401682</v>
      </c>
      <c r="E55" s="6">
        <v>129.17451458598316</v>
      </c>
      <c r="F55" s="6">
        <v>129</v>
      </c>
      <c r="G55" s="73">
        <v>137.525</v>
      </c>
      <c r="H55" s="73">
        <v>135</v>
      </c>
      <c r="I55" s="73">
        <v>129</v>
      </c>
    </row>
    <row r="56" spans="1:9" ht="12.75">
      <c r="A56" s="2">
        <v>37966</v>
      </c>
      <c r="B56" s="13">
        <v>140.80801906078406</v>
      </c>
      <c r="C56" s="13">
        <v>127.43301906078409</v>
      </c>
      <c r="D56" s="6">
        <v>139.35277706369604</v>
      </c>
      <c r="E56" s="6">
        <v>128.54722293630394</v>
      </c>
      <c r="F56" s="6">
        <v>129.5</v>
      </c>
      <c r="G56" s="73">
        <v>137.525</v>
      </c>
      <c r="H56" s="73">
        <v>134.25</v>
      </c>
      <c r="I56" s="73">
        <v>129</v>
      </c>
    </row>
    <row r="57" spans="1:9" ht="12.75">
      <c r="A57" s="2">
        <v>37967</v>
      </c>
      <c r="B57" s="13">
        <v>140.68625635452042</v>
      </c>
      <c r="C57" s="13">
        <v>126.9362563545204</v>
      </c>
      <c r="D57" s="6">
        <v>139.25192698561466</v>
      </c>
      <c r="E57" s="6">
        <v>127.89807301438532</v>
      </c>
      <c r="F57" s="6">
        <v>129</v>
      </c>
      <c r="G57" s="73">
        <v>137.525</v>
      </c>
      <c r="H57" s="73">
        <v>134</v>
      </c>
      <c r="I57" s="73">
        <v>129</v>
      </c>
    </row>
    <row r="58" spans="1:9" ht="12.75">
      <c r="A58" s="2">
        <v>37970</v>
      </c>
      <c r="B58" s="13">
        <v>140.6373462532644</v>
      </c>
      <c r="C58" s="13">
        <v>126.76234625326438</v>
      </c>
      <c r="D58" s="6">
        <v>139.3228187440104</v>
      </c>
      <c r="E58" s="6">
        <v>127.57718125598959</v>
      </c>
      <c r="F58" s="6">
        <v>130</v>
      </c>
      <c r="G58" s="73">
        <v>137.525</v>
      </c>
      <c r="H58" s="73">
        <v>134</v>
      </c>
      <c r="I58" s="73">
        <v>129</v>
      </c>
    </row>
    <row r="59" spans="1:9" ht="12.75">
      <c r="A59" s="2">
        <v>37971</v>
      </c>
      <c r="B59" s="13">
        <v>140.41352045204852</v>
      </c>
      <c r="C59" s="13">
        <v>126.41352045204853</v>
      </c>
      <c r="D59" s="6">
        <v>139.4753458403474</v>
      </c>
      <c r="E59" s="6">
        <v>126.82465415965262</v>
      </c>
      <c r="F59" s="6">
        <v>128</v>
      </c>
      <c r="G59" s="73">
        <v>137.525</v>
      </c>
      <c r="H59" s="73">
        <v>133.75</v>
      </c>
      <c r="I59" s="73">
        <v>128.475</v>
      </c>
    </row>
    <row r="60" spans="1:9" ht="12.75">
      <c r="A60" s="2">
        <v>37972</v>
      </c>
      <c r="B60" s="13">
        <v>140.34185102464951</v>
      </c>
      <c r="C60" s="13">
        <v>125.96685102464951</v>
      </c>
      <c r="D60" s="6">
        <v>140.04844810976806</v>
      </c>
      <c r="E60" s="6">
        <v>125.55155189023196</v>
      </c>
      <c r="F60" s="6">
        <v>125</v>
      </c>
      <c r="G60" s="73">
        <v>137.525</v>
      </c>
      <c r="H60" s="73">
        <v>133.75</v>
      </c>
      <c r="I60" s="73">
        <v>126.425</v>
      </c>
    </row>
    <row r="61" spans="1:9" ht="12.75">
      <c r="A61" s="2">
        <v>37973</v>
      </c>
      <c r="B61" s="13">
        <v>139.7616610251419</v>
      </c>
      <c r="C61" s="13">
        <v>125.88666102514189</v>
      </c>
      <c r="D61" s="6">
        <v>140.27879301041992</v>
      </c>
      <c r="E61" s="6">
        <v>124.62120698958006</v>
      </c>
      <c r="F61" s="6">
        <v>126</v>
      </c>
      <c r="G61" s="73">
        <v>137.525</v>
      </c>
      <c r="H61" s="73">
        <v>133.75</v>
      </c>
      <c r="I61" s="73">
        <v>125.475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MultifinansIt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Gunnar Bleivik</dc:creator>
  <cp:keywords/>
  <dc:description/>
  <cp:lastModifiedBy>Kjell Bleivik</cp:lastModifiedBy>
  <dcterms:created xsi:type="dcterms:W3CDTF">2002-10-07T10:33:06Z</dcterms:created>
  <dcterms:modified xsi:type="dcterms:W3CDTF">2003-12-19T13:16:06Z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